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idgehlen/Desktop/"/>
    </mc:Choice>
  </mc:AlternateContent>
  <xr:revisionPtr revIDLastSave="0" documentId="13_ncr:1_{F2F7A11B-DCEC-0643-B590-5DA7A31B6799}" xr6:coauthVersionLast="47" xr6:coauthVersionMax="47" xr10:uidLastSave="{00000000-0000-0000-0000-000000000000}"/>
  <workbookProtection workbookAlgorithmName="SHA-512" workbookHashValue="zSzI3Yfh8JiQOrdtbH+Akakm+uQmSbuE+/DOEue9orImXQCwkz+64EDIhLf4hRzGeqGsx2SJbZq9GSNAAGXgfg==" workbookSaltValue="pd9SzieANrgHAIBWJ9143g==" workbookSpinCount="100000" lockStructure="1"/>
  <bookViews>
    <workbookView xWindow="0" yWindow="500" windowWidth="38400" windowHeight="19360" tabRatio="792" activeTab="1" xr2:uid="{173F27A3-CD2B-4B35-B1EA-30ACDC4AA6EF}"/>
  </bookViews>
  <sheets>
    <sheet name="MENU" sheetId="9" r:id="rId1"/>
    <sheet name="Cables métal GME" sheetId="5" r:id="rId2"/>
    <sheet name="Cables métal GMA" sheetId="12" r:id="rId3"/>
    <sheet name="Cables métal MR" sheetId="16" r:id="rId4"/>
    <sheet name="Colisage" sheetId="18" state="hidden" r:id="rId5"/>
    <sheet name="Outils" sheetId="13" r:id="rId6"/>
    <sheet name="Base cables levage" sheetId="3" state="hidden" r:id="rId7"/>
    <sheet name="Base cable distribution" sheetId="6" state="hidden" r:id="rId8"/>
    <sheet name="GMA" sheetId="2" state="hidden" r:id="rId9"/>
    <sheet name="Guide service des câbles " sheetId="21" r:id="rId10"/>
    <sheet name="GME" sheetId="1" state="hidden" r:id="rId11"/>
    <sheet name="MR" sheetId="17" state="hidden" r:id="rId12"/>
    <sheet name="BULT LEVAGE" sheetId="19" state="hidden" r:id="rId13"/>
    <sheet name="BULT DISTRIB" sheetId="15" state="hidden" r:id="rId14"/>
    <sheet name="Language" sheetId="7" state="hidden" r:id="rId15"/>
  </sheets>
  <definedNames>
    <definedName name="_xlnm._FilterDatabase" localSheetId="10" hidden="1">GME!$A$5:$AG$156</definedName>
    <definedName name="CABLE_SP" comment="Base de cables spécifiques">'Base cables levage'!$M$4:$O$25</definedName>
    <definedName name="D" comment="Base cable de distrib sans boucle">'Base cable distribution'!$A$7:$F$17</definedName>
    <definedName name="D_1B" comment="Base cable de distrib avec boucle">'Base cable distribution'!$I$7:$N$20</definedName>
    <definedName name="DIM_TOURET" comment="COLISAGE : Liste des tourets existant">Colisage!$F$32:$G$36</definedName>
    <definedName name="GMA" comment="Liste des grue GMA à partir de la base GMA">GMA!$A$4:$A$57</definedName>
    <definedName name="GMA_BASE" comment="Base de donnée GMA">GMA!$A$5:$U$1029</definedName>
    <definedName name="GME" comment="Liste des grue GME à partir de la base GME">GME!$A$5:$A$80</definedName>
    <definedName name="GME_BASE" comment="Base de donnée GMA">GME!$A$6:$AE$1035</definedName>
    <definedName name="LF" comment="LISTE DYNAMIQUE DES CONFIGURATIONS DE FLECHE EN FONCTION DU MODELE DE GRUE">GME!$N$2:$AF$2</definedName>
    <definedName name="LF_FONCTION_MR" comment="SELECTION RAPPORT ENTRE CONFIG FLECHE ET N° DE COLONNE">MR!$G$3:$R$5</definedName>
    <definedName name="LF_MR" comment="LISTE DYNAMIQUE DES CONFIG DE FLECHE MR">MR!$G$3:$R$3</definedName>
    <definedName name="LV" comment="Base des cables de levage">'Base cables levage'!$A$4:$J$21</definedName>
    <definedName name="MR" comment="Liste des grue LR">MR!$A$5:$A$15</definedName>
    <definedName name="MR_BASE" comment="Base de donnée MR">MR!$A$6:$AA$335</definedName>
    <definedName name="POIDS" comment="COLISAGE : Base des poids / cable">Colisage!$B$6:$D$126</definedName>
    <definedName name="TOURET" comment="COLISAGE : Matrice des colisages">Colisage!$F$6:$AA$27</definedName>
    <definedName name="TRT_LGMAX" comment="COLISAGE : Graduation LG MAX">Colisage!$G$4:$AA$4</definedName>
    <definedName name="TRT_LGMAX_REP" comment="COLISAGES : repère des graduation LG MAX">Colisage!$G$4:$AA$5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7" l="1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66" i="7"/>
  <c r="B10" i="21" s="1"/>
  <c r="F1" i="21"/>
  <c r="G34" i="1" l="1"/>
  <c r="L34" i="1"/>
  <c r="G76" i="1"/>
  <c r="G75" i="1"/>
  <c r="L75" i="1"/>
  <c r="L76" i="1"/>
  <c r="G73" i="1"/>
  <c r="L73" i="1"/>
  <c r="G72" i="1"/>
  <c r="L72" i="1"/>
  <c r="G79" i="1"/>
  <c r="L79" i="1"/>
  <c r="B65" i="7" l="1"/>
  <c r="B67" i="7"/>
  <c r="L8" i="1"/>
  <c r="G8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4" i="1"/>
  <c r="G77" i="1"/>
  <c r="G78" i="1"/>
  <c r="G80" i="1"/>
  <c r="G25" i="1"/>
  <c r="B64" i="7"/>
  <c r="L52" i="1"/>
  <c r="A3" i="1"/>
  <c r="C28" i="5" s="1"/>
  <c r="A3" i="2"/>
  <c r="B63" i="7"/>
  <c r="B41" i="16" s="1"/>
  <c r="A24" i="16"/>
  <c r="A26" i="16"/>
  <c r="B58" i="7"/>
  <c r="A23" i="5" s="1"/>
  <c r="B26" i="7"/>
  <c r="B31" i="5" s="1"/>
  <c r="B62" i="7"/>
  <c r="B21" i="16"/>
  <c r="B23" i="16" s="1"/>
  <c r="C1" i="9" l="1"/>
  <c r="C1" i="21"/>
  <c r="V7" i="17"/>
  <c r="V8" i="17"/>
  <c r="V9" i="17"/>
  <c r="V6" i="17"/>
  <c r="E33" i="5"/>
  <c r="C40" i="5"/>
  <c r="C33" i="5"/>
  <c r="D40" i="5"/>
  <c r="E40" i="5"/>
  <c r="D33" i="5"/>
  <c r="B33" i="16"/>
  <c r="C1" i="12"/>
  <c r="C1" i="16"/>
  <c r="C1" i="13"/>
  <c r="C1" i="5"/>
  <c r="E15" i="16"/>
  <c r="B61" i="7"/>
  <c r="D8" i="16" s="1"/>
  <c r="L43" i="1" l="1"/>
  <c r="L39" i="1"/>
  <c r="B49" i="7"/>
  <c r="E16" i="13" s="1"/>
  <c r="L30" i="1"/>
  <c r="L71" i="1"/>
  <c r="L22" i="1"/>
  <c r="C31" i="5"/>
  <c r="D34" i="5" l="1"/>
  <c r="C35" i="5"/>
  <c r="C34" i="5"/>
  <c r="E34" i="5"/>
  <c r="L51" i="1"/>
  <c r="L17" i="1" l="1"/>
  <c r="L16" i="1"/>
  <c r="B55" i="7" l="1"/>
  <c r="S13" i="17" s="1"/>
  <c r="B56" i="7"/>
  <c r="B57" i="7"/>
  <c r="B59" i="7"/>
  <c r="G36" i="18" s="1"/>
  <c r="B60" i="7"/>
  <c r="B8" i="16" s="1"/>
  <c r="H3" i="17"/>
  <c r="I3" i="17"/>
  <c r="J3" i="17"/>
  <c r="K3" i="17"/>
  <c r="L3" i="17"/>
  <c r="M3" i="17"/>
  <c r="N3" i="17"/>
  <c r="O3" i="17"/>
  <c r="P3" i="17"/>
  <c r="Q3" i="17"/>
  <c r="R3" i="17"/>
  <c r="A25" i="5" l="1"/>
  <c r="A17" i="12"/>
  <c r="B33" i="12"/>
  <c r="B26" i="12"/>
  <c r="B41" i="5"/>
  <c r="B34" i="5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98" i="1"/>
  <c r="L99" i="1"/>
  <c r="L100" i="1"/>
  <c r="L101" i="1"/>
  <c r="L102" i="1"/>
  <c r="L103" i="1"/>
  <c r="L104" i="1"/>
  <c r="L105" i="1"/>
  <c r="L106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C37" i="16"/>
  <c r="C32" i="16"/>
  <c r="C40" i="16" l="1"/>
  <c r="C39" i="16"/>
  <c r="C41" i="16" l="1"/>
  <c r="C42" i="16"/>
  <c r="C31" i="16"/>
  <c r="C33" i="16" s="1"/>
  <c r="C29" i="16"/>
  <c r="C34" i="16" l="1"/>
  <c r="A3" i="17"/>
  <c r="C12" i="16"/>
  <c r="C12" i="5"/>
  <c r="G3" i="17"/>
  <c r="C16" i="16" l="1"/>
  <c r="C15" i="16"/>
  <c r="A23" i="16" s="1"/>
  <c r="D16" i="16"/>
  <c r="D15" i="16"/>
  <c r="A25" i="16" s="1"/>
  <c r="E21" i="16"/>
  <c r="C21" i="16"/>
  <c r="D12" i="16"/>
  <c r="E20" i="5"/>
  <c r="D12" i="5"/>
  <c r="F20" i="5"/>
  <c r="F22" i="5" s="1"/>
  <c r="F21" i="16"/>
  <c r="L80" i="1"/>
  <c r="D21" i="16" l="1"/>
  <c r="D23" i="16" s="1"/>
  <c r="B25" i="16"/>
  <c r="B24" i="16"/>
  <c r="F25" i="16"/>
  <c r="C25" i="16"/>
  <c r="E25" i="16"/>
  <c r="E23" i="16"/>
  <c r="C23" i="16"/>
  <c r="B26" i="16"/>
  <c r="F23" i="16"/>
  <c r="B17" i="7"/>
  <c r="B36" i="16" s="1"/>
  <c r="B16" i="7"/>
  <c r="B28" i="16" s="1"/>
  <c r="B7" i="7"/>
  <c r="B3" i="16" s="1"/>
  <c r="A6" i="16"/>
  <c r="F1" i="16"/>
  <c r="D25" i="16" l="1"/>
  <c r="C7" i="9"/>
  <c r="L62" i="1"/>
  <c r="L61" i="1"/>
  <c r="L60" i="1"/>
  <c r="L59" i="1"/>
  <c r="L38" i="1"/>
  <c r="L37" i="1"/>
  <c r="L36" i="1"/>
  <c r="L35" i="1"/>
  <c r="L33" i="1"/>
  <c r="L32" i="1"/>
  <c r="L31" i="1"/>
  <c r="L29" i="1"/>
  <c r="L28" i="1"/>
  <c r="L27" i="1"/>
  <c r="L26" i="1"/>
  <c r="L25" i="1"/>
  <c r="L24" i="1"/>
  <c r="L23" i="1"/>
  <c r="L21" i="1"/>
  <c r="L20" i="1"/>
  <c r="L19" i="1"/>
  <c r="L18" i="1"/>
  <c r="L15" i="1"/>
  <c r="L14" i="1"/>
  <c r="L13" i="1"/>
  <c r="L12" i="1"/>
  <c r="L11" i="1"/>
  <c r="L10" i="1"/>
  <c r="L9" i="1"/>
  <c r="L7" i="1"/>
  <c r="L77" i="1"/>
  <c r="L78" i="1"/>
  <c r="B50" i="7" l="1"/>
  <c r="C9" i="13" s="1"/>
  <c r="L67" i="1" l="1"/>
  <c r="L57" i="1"/>
  <c r="L58" i="1"/>
  <c r="G13" i="12" l="1"/>
  <c r="G14" i="12"/>
  <c r="L74" i="1" l="1"/>
  <c r="L63" i="1"/>
  <c r="B48" i="7" l="1"/>
  <c r="C16" i="13" s="1"/>
  <c r="B47" i="7"/>
  <c r="C12" i="13" s="1"/>
  <c r="B51" i="7"/>
  <c r="B8" i="13" s="1"/>
  <c r="B52" i="7"/>
  <c r="J17" i="3" s="1"/>
  <c r="B53" i="7"/>
  <c r="B54" i="7"/>
  <c r="F1" i="13"/>
  <c r="J5" i="3" l="1"/>
  <c r="J13" i="3"/>
  <c r="J21" i="3"/>
  <c r="J15" i="3"/>
  <c r="J16" i="3"/>
  <c r="J6" i="3"/>
  <c r="J14" i="3"/>
  <c r="J4" i="3"/>
  <c r="J7" i="3"/>
  <c r="J8" i="3"/>
  <c r="J12" i="3"/>
  <c r="J9" i="3"/>
  <c r="J10" i="3"/>
  <c r="J18" i="3"/>
  <c r="J11" i="3"/>
  <c r="J19" i="3"/>
  <c r="J20" i="3"/>
  <c r="C10" i="13"/>
  <c r="C15" i="13"/>
  <c r="C14" i="13"/>
  <c r="C13" i="13"/>
  <c r="C11" i="13"/>
  <c r="L68" i="1"/>
  <c r="E14" i="16" l="1"/>
  <c r="E39" i="9"/>
  <c r="L47" i="1"/>
  <c r="B42" i="7" l="1"/>
  <c r="B29" i="9" s="1"/>
  <c r="B43" i="7"/>
  <c r="B44" i="7"/>
  <c r="C29" i="9" s="1"/>
  <c r="B45" i="7"/>
  <c r="C39" i="9" s="1"/>
  <c r="B46" i="7"/>
  <c r="C13" i="9" l="1"/>
  <c r="B3" i="21"/>
  <c r="C11" i="9"/>
  <c r="B3" i="13"/>
  <c r="B41" i="7"/>
  <c r="C16" i="9" s="1"/>
  <c r="F1" i="5" l="1"/>
  <c r="L41" i="1"/>
  <c r="B40" i="7" l="1"/>
  <c r="S53" i="2" l="1"/>
  <c r="G12" i="12" l="1"/>
  <c r="B44" i="12"/>
  <c r="B37" i="7" l="1"/>
  <c r="B38" i="7"/>
  <c r="B39" i="7"/>
  <c r="D11" i="12" s="1"/>
  <c r="D30" i="12" l="1"/>
  <c r="B17" i="5"/>
  <c r="B18" i="16"/>
  <c r="L44" i="1"/>
  <c r="D44" i="12" l="1"/>
  <c r="E44" i="12"/>
  <c r="C44" i="12" s="1"/>
  <c r="E41" i="12"/>
  <c r="E43" i="12"/>
  <c r="E42" i="12"/>
  <c r="D43" i="12"/>
  <c r="C43" i="12" s="1"/>
  <c r="D42" i="12"/>
  <c r="C42" i="12" s="1"/>
  <c r="D41" i="12"/>
  <c r="C41" i="12" s="1"/>
  <c r="C30" i="12" l="1"/>
  <c r="C23" i="12"/>
  <c r="C20" i="12"/>
  <c r="C9" i="12"/>
  <c r="B17" i="12" s="1"/>
  <c r="C34" i="12" l="1"/>
  <c r="E32" i="12"/>
  <c r="E33" i="12" s="1"/>
  <c r="C27" i="12"/>
  <c r="D14" i="12"/>
  <c r="D32" i="12"/>
  <c r="D33" i="12" s="1"/>
  <c r="E25" i="12"/>
  <c r="E26" i="12" s="1"/>
  <c r="C32" i="12"/>
  <c r="C33" i="12" s="1"/>
  <c r="D25" i="12"/>
  <c r="D26" i="12" s="1"/>
  <c r="C25" i="12"/>
  <c r="C26" i="12" s="1"/>
  <c r="B14" i="12"/>
  <c r="E14" i="12"/>
  <c r="F14" i="12"/>
  <c r="F16" i="12" s="1"/>
  <c r="C14" i="12"/>
  <c r="L50" i="1"/>
  <c r="A6" i="12" l="1"/>
  <c r="F1" i="12"/>
  <c r="C11" i="12" l="1"/>
  <c r="B16" i="12" s="1"/>
  <c r="E16" i="12" l="1"/>
  <c r="D16" i="12"/>
  <c r="C16" i="12"/>
  <c r="B19" i="7"/>
  <c r="B20" i="7"/>
  <c r="B16" i="16" s="1"/>
  <c r="B21" i="7"/>
  <c r="B19" i="16" s="1"/>
  <c r="B22" i="7"/>
  <c r="B23" i="7"/>
  <c r="B24" i="7"/>
  <c r="B32" i="5" s="1"/>
  <c r="B25" i="7"/>
  <c r="B39" i="16"/>
  <c r="B27" i="7"/>
  <c r="B28" i="7"/>
  <c r="B38" i="12" s="1"/>
  <c r="B29" i="7"/>
  <c r="B40" i="12" s="1"/>
  <c r="B30" i="7"/>
  <c r="B41" i="12" s="1"/>
  <c r="B31" i="7"/>
  <c r="B42" i="12" s="1"/>
  <c r="B32" i="7"/>
  <c r="B43" i="12" s="1"/>
  <c r="B33" i="7"/>
  <c r="B34" i="7"/>
  <c r="B35" i="7"/>
  <c r="B36" i="7"/>
  <c r="B10" i="7"/>
  <c r="B11" i="7"/>
  <c r="B12" i="7"/>
  <c r="B9" i="16" s="1"/>
  <c r="B13" i="7"/>
  <c r="B14" i="7"/>
  <c r="B11" i="16" s="1"/>
  <c r="B15" i="7"/>
  <c r="B27" i="5" s="1"/>
  <c r="B18" i="7"/>
  <c r="B37" i="16" s="1"/>
  <c r="B8" i="7"/>
  <c r="B9" i="7"/>
  <c r="B6" i="7"/>
  <c r="B33" i="5" l="1"/>
  <c r="B32" i="12"/>
  <c r="B32" i="16"/>
  <c r="B40" i="16"/>
  <c r="D40" i="12"/>
  <c r="B31" i="16"/>
  <c r="B9" i="5"/>
  <c r="B7" i="16"/>
  <c r="B8" i="5"/>
  <c r="B7" i="5"/>
  <c r="B6" i="5"/>
  <c r="B6" i="16"/>
  <c r="B16" i="9"/>
  <c r="B3" i="5"/>
  <c r="B16" i="5"/>
  <c r="C40" i="12"/>
  <c r="B29" i="16"/>
  <c r="B12" i="16"/>
  <c r="B14" i="5"/>
  <c r="B14" i="16"/>
  <c r="E40" i="12"/>
  <c r="B37" i="5"/>
  <c r="B29" i="12"/>
  <c r="B11" i="5"/>
  <c r="B8" i="12"/>
  <c r="B39" i="5"/>
  <c r="B31" i="12"/>
  <c r="B24" i="12"/>
  <c r="B22" i="12"/>
  <c r="B30" i="5"/>
  <c r="B6" i="12"/>
  <c r="B18" i="5"/>
  <c r="B12" i="12"/>
  <c r="B3" i="12"/>
  <c r="B15" i="5"/>
  <c r="B11" i="12"/>
  <c r="B28" i="5"/>
  <c r="B9" i="12"/>
  <c r="B20" i="12"/>
  <c r="B25" i="12"/>
  <c r="B19" i="12"/>
  <c r="B30" i="12"/>
  <c r="B23" i="12"/>
  <c r="C5" i="9"/>
  <c r="C9" i="9"/>
  <c r="B38" i="5"/>
  <c r="B12" i="5"/>
  <c r="A6" i="5" l="1"/>
  <c r="L40" i="1" l="1"/>
  <c r="L42" i="1"/>
  <c r="L45" i="1"/>
  <c r="L49" i="1"/>
  <c r="L48" i="1"/>
  <c r="L53" i="1"/>
  <c r="L54" i="1"/>
  <c r="L55" i="1"/>
  <c r="L56" i="1"/>
  <c r="L64" i="1"/>
  <c r="L65" i="1"/>
  <c r="L66" i="1"/>
  <c r="L69" i="1"/>
  <c r="L70" i="1"/>
  <c r="L46" i="1"/>
  <c r="D15" i="5" l="1"/>
  <c r="C15" i="5"/>
  <c r="A22" i="5" s="1"/>
  <c r="L6" i="1"/>
  <c r="B23" i="5" l="1"/>
  <c r="B25" i="5"/>
  <c r="A24" i="5"/>
  <c r="E22" i="5"/>
  <c r="F24" i="5"/>
  <c r="E24" i="5"/>
  <c r="N2" i="1"/>
  <c r="AF2" i="1"/>
  <c r="AC2" i="1"/>
  <c r="O2" i="1"/>
  <c r="AB2" i="1"/>
  <c r="Z2" i="1"/>
  <c r="AA2" i="1"/>
  <c r="P2" i="1"/>
  <c r="R2" i="1"/>
  <c r="Q2" i="1"/>
  <c r="S2" i="1"/>
  <c r="V2" i="1"/>
  <c r="AD2" i="1"/>
  <c r="X2" i="1"/>
  <c r="T2" i="1"/>
  <c r="Y2" i="1"/>
  <c r="W2" i="1"/>
  <c r="AE2" i="1"/>
  <c r="U2" i="1"/>
  <c r="C38" i="5"/>
  <c r="C42" i="5" s="1"/>
  <c r="C20" i="5"/>
  <c r="C22" i="5" s="1"/>
  <c r="D20" i="5"/>
  <c r="D22" i="5" s="1"/>
  <c r="E32" i="5"/>
  <c r="E39" i="5" s="1"/>
  <c r="B20" i="5"/>
  <c r="B22" i="5" s="1"/>
  <c r="C16" i="5"/>
  <c r="D38" i="5"/>
  <c r="B40" i="5"/>
  <c r="D41" i="5" l="1"/>
  <c r="E41" i="5"/>
  <c r="D24" i="5"/>
  <c r="B24" i="5"/>
  <c r="C24" i="5"/>
  <c r="C41" i="5"/>
  <c r="F40" i="5"/>
  <c r="F33" i="5"/>
  <c r="F32" i="5"/>
  <c r="F3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Guistetto, Jerome</author>
  </authors>
  <commentList>
    <comment ref="F1" authorId="0" shapeId="0" xr:uid="{94CFDCDE-F834-47B5-916D-0DAB49ADDDEA}">
      <text>
        <r>
          <rPr>
            <b/>
            <sz val="9"/>
            <color rgb="FF000000"/>
            <rFont val="Tahoma"/>
            <family val="2"/>
          </rPr>
          <t>Language changing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Guistetto, Jerome</author>
    <author>tc={98FBF3AA-0D03-458A-84D0-81AD328DBC4F}</author>
    <author>tc={B0D8C117-B363-4F5E-A4F1-8824D18303CD}</author>
    <author>tc={3942FA9F-D5CF-44B0-96C8-141ABF09D925}</author>
  </authors>
  <commentList>
    <comment ref="S1" authorId="0" shapeId="0" xr:uid="{B0ECDD2C-EB57-4347-8F04-63E17FB97379}">
      <text>
        <r>
          <rPr>
            <b/>
            <sz val="9"/>
            <color indexed="81"/>
            <rFont val="Tahoma"/>
            <family val="2"/>
          </rPr>
          <t>Guistetto, Jerome:</t>
        </r>
        <r>
          <rPr>
            <sz val="9"/>
            <color indexed="81"/>
            <rFont val="Tahoma"/>
            <family val="2"/>
          </rPr>
          <t xml:space="preserve">
Ligne ajoutée automatiquement en page de consultation si des données sont renseignée ici</t>
        </r>
      </text>
    </comment>
    <comment ref="B2" authorId="1" shapeId="0" xr:uid="{98FBF3AA-0D03-458A-84D0-81AD328DBC4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Pour mémoire</t>
      </text>
    </comment>
    <comment ref="F2" authorId="2" shapeId="0" xr:uid="{B0D8C117-B363-4F5E-A4F1-8824D18303C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Niveau a partir du quel démarrer :
1 : 17x7 Standard	
2 : 24x7 Premium	
3 : 24 x 7 K Performer	
4 : High Performer E	
5 : High Performer S
9 : Ne pas afficher de cable</t>
      </text>
    </comment>
    <comment ref="I2" authorId="0" shapeId="0" xr:uid="{8CA69276-015E-44E2-9FA5-3ECEA1CCC07F}">
      <text>
        <r>
          <rPr>
            <b/>
            <sz val="9"/>
            <color indexed="81"/>
            <rFont val="Tahoma"/>
            <family val="2"/>
          </rPr>
          <t>Guistetto, Jerome:</t>
        </r>
        <r>
          <rPr>
            <sz val="9"/>
            <color indexed="81"/>
            <rFont val="Tahoma"/>
            <family val="2"/>
          </rPr>
          <t xml:space="preserve">
6ex : CABLE EXCLUSIVEMENT 6 TORONS
6 : CABLE A PARTIR DU 6 TORONS
9 : CABLE EXCLUSIVEMENT 9 TORONS</t>
        </r>
      </text>
    </comment>
    <comment ref="L2" authorId="0" shapeId="0" xr:uid="{BC2C81CB-4EDC-4168-B3B9-29794609B45B}">
      <text>
        <r>
          <rPr>
            <b/>
            <sz val="9"/>
            <color indexed="81"/>
            <rFont val="Tahoma"/>
            <family val="2"/>
          </rPr>
          <t>Guistetto, Jerome:</t>
        </r>
        <r>
          <rPr>
            <sz val="9"/>
            <color indexed="81"/>
            <rFont val="Tahoma"/>
            <family val="2"/>
          </rPr>
          <t xml:space="preserve">
6ex : CABLE EXCLUSIVEMENT 6 TORONS
6 : CABLE A PARTIR DU 6 TORONS
9 : CABLE SEULEMENT 9 TORONS</t>
        </r>
      </text>
    </comment>
    <comment ref="A3" authorId="3" shapeId="0" xr:uid="{3942FA9F-D5CF-44B0-96C8-141ABF09D92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Nombre de grue GMA dans la base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tc={A107D6E0-48A1-46D2-97C5-412DBE8B6973}</author>
    <author>tc={52607B34-AE29-47D8-BD01-72D6ADB1045C}</author>
    <author>tc={E142021E-4450-45A5-8307-00F280AF7563}</author>
    <author>tc={4CCB3C31-79E9-4712-9E8A-88DAAADB5C26}</author>
    <author>Guistetto, Jerome</author>
    <author>tc={395CC74E-4F56-4104-8D73-0BDE23F2DE56}</author>
    <author>tc={EFBDB859-38F4-4738-99C1-BD7BD037C2F2}</author>
  </authors>
  <commentList>
    <comment ref="L1" authorId="0" shapeId="0" xr:uid="{A107D6E0-48A1-46D2-97C5-412DBE8B697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Ne pas remplir ce champs</t>
      </text>
    </comment>
    <comment ref="E2" authorId="1" shapeId="0" xr:uid="{52607B34-AE29-47D8-BD01-72D6ADB1045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Niveau de qualité a partir du quel démarrer :
1 : 17x7 Standard	
2 : 24x7 Standard	
3 : 24 x 7 K Premium	
4 : High Performer E	
5 : High Performer S
6 : Dans le cas de cable spécifique non standard (report au catalogue)
7 : HIGH PERF S -&gt;Terminaison avec manchon</t>
      </text>
    </comment>
    <comment ref="G2" authorId="2" shapeId="0" xr:uid="{E142021E-4450-45A5-8307-00F280AF756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Si pas d'hauteur GH mettre : "PGH"
Ceci va renvoyer l'utilisateur vers manitowoc si la configuration n'est pas standard
Beantwoorden:
    Suite nouvelle directive.
A partir de ce jour, cette hauteur est calculée pour atteindre 400m de cable. 
Pour toutes les grues : Des les 400m de cable atteind, seul le cable High performer mini sera proposé.</t>
      </text>
    </comment>
    <comment ref="I2" authorId="3" shapeId="0" xr:uid="{4CCB3C31-79E9-4712-9E8A-88DAAADB5C2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Niveau de qualité a partir du quel démarrer :
6 : Cable 6 torons non compacté mini
9 : Cable 9 torons ou 6 torons compacté mini
HIGH : seulement le cable le HIGH 
PERF
NC : Nous contacter</t>
      </text>
    </comment>
    <comment ref="N2" authorId="4" shapeId="0" xr:uid="{13A452D4-F8FF-4283-A9AA-F6C457E5E7E6}">
      <text>
        <r>
          <rPr>
            <b/>
            <sz val="9"/>
            <color indexed="81"/>
            <rFont val="Tahoma"/>
            <family val="2"/>
          </rPr>
          <t>Guistetto, Jerome:</t>
        </r>
        <r>
          <rPr>
            <sz val="9"/>
            <color indexed="81"/>
            <rFont val="Tahoma"/>
            <family val="2"/>
          </rPr>
          <t xml:space="preserve">
Ne pas effacer</t>
        </r>
      </text>
    </comment>
    <comment ref="A3" authorId="5" shapeId="0" xr:uid="{395CC74E-4F56-4104-8D73-0BDE23F2DE5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Nombre de grue GME dans la base</t>
      </text>
    </comment>
    <comment ref="E74" authorId="6" shapeId="0" xr:uid="{EFBDB859-38F4-4738-99C1-BD7BD037C2F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7 : High perf S -&gt; terminaison avec manchon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tc={F6E80215-2AA9-4102-9DF8-708CF9E7932F}</author>
    <author>tc={0081769B-4FC7-4228-82B4-83710D0D6AB7}</author>
    <author>tc={BABAC9E9-442B-4DC0-A275-C451F0C3EAFC}</author>
    <author>tc={EDFB79C2-F199-461D-99BA-CCC0ED6F2192}</author>
  </authors>
  <commentList>
    <comment ref="C2" authorId="0" shapeId="0" xr:uid="{F6E80215-2AA9-4102-9DF8-708CF9E7932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Niveau a partir du quel démarrer :
1 : 17x7 Standard	
2 : 24x7 Standard	
3 : 24 x 7 K Premium	
4 : High Performer E	
5 : High Performer S
6 : Voir Catalogue</t>
      </text>
    </comment>
    <comment ref="D2" authorId="1" shapeId="0" xr:uid="{0081769B-4FC7-4228-82B4-83710D0D6AB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Haute d'autonomie = hauteur de l'articulation de flèche
Beantwoorden:
    =&gt; Utiliser dans les datas FEM la hauteur du pylône en flèche mini.</t>
      </text>
    </comment>
    <comment ref="A3" authorId="2" shapeId="0" xr:uid="{BABAC9E9-442B-4DC0-A275-C451F0C3EAF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Nombre de grue MR dans la base</t>
      </text>
    </comment>
    <comment ref="D3" authorId="3" shapeId="0" xr:uid="{EDFB79C2-F199-461D-99BA-CCC0ED6F219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Valeur max (m) de la longueur du câble en qualité PREMIUM</t>
      </text>
    </comment>
  </commentList>
</comments>
</file>

<file path=xl/sharedStrings.xml><?xml version="1.0" encoding="utf-8"?>
<sst xmlns="http://schemas.openxmlformats.org/spreadsheetml/2006/main" count="1818" uniqueCount="744">
  <si>
    <t>GRUE</t>
  </si>
  <si>
    <t>MDT189</t>
  </si>
  <si>
    <t>L-00044-03</t>
  </si>
  <si>
    <t>Long constante</t>
  </si>
  <si>
    <t>DIAMETRE</t>
  </si>
  <si>
    <t>MDT109</t>
  </si>
  <si>
    <t>MDT139</t>
  </si>
  <si>
    <t>MDT219-J8</t>
  </si>
  <si>
    <t>MDT219-J10</t>
  </si>
  <si>
    <t>MDT249-J10</t>
  </si>
  <si>
    <t>MDT249-J12</t>
  </si>
  <si>
    <t>MDT259-J10</t>
  </si>
  <si>
    <t>MDT259-J12</t>
  </si>
  <si>
    <t>MDT269-J10</t>
  </si>
  <si>
    <t>MDT269-J12</t>
  </si>
  <si>
    <t>M-00044-04</t>
  </si>
  <si>
    <t>MDT319</t>
  </si>
  <si>
    <t>MDT349-L12</t>
  </si>
  <si>
    <t>MDT349-L16</t>
  </si>
  <si>
    <t>MDT389-L12</t>
  </si>
  <si>
    <t>MDT389-L16</t>
  </si>
  <si>
    <t>N-00044-05</t>
  </si>
  <si>
    <t>Ref. CABLE LEVAGE</t>
  </si>
  <si>
    <t>Ref. CABLE CHARIOT AV</t>
  </si>
  <si>
    <t>MCT88</t>
  </si>
  <si>
    <t>MCT68</t>
  </si>
  <si>
    <t>K-00044-02</t>
  </si>
  <si>
    <t>IGO11</t>
  </si>
  <si>
    <t>IGO13</t>
  </si>
  <si>
    <t>IGO15</t>
  </si>
  <si>
    <t>IGO18</t>
  </si>
  <si>
    <t>IGO21</t>
  </si>
  <si>
    <t>IGO22</t>
  </si>
  <si>
    <t>IGO30</t>
  </si>
  <si>
    <t>IGO32</t>
  </si>
  <si>
    <t>IGO50</t>
  </si>
  <si>
    <t>HUP32-27</t>
  </si>
  <si>
    <t>HUP40-30</t>
  </si>
  <si>
    <t>Z-83313-35</t>
  </si>
  <si>
    <t>W-81313-25</t>
  </si>
  <si>
    <t>J-79313-74</t>
  </si>
  <si>
    <t>D-79313-92</t>
  </si>
  <si>
    <t>H-81313-81</t>
  </si>
  <si>
    <t>CABLE CHARIOT AR</t>
  </si>
  <si>
    <t>CABLE CHARIOT AV</t>
  </si>
  <si>
    <t>longueur</t>
  </si>
  <si>
    <t>reference</t>
  </si>
  <si>
    <t>diametre</t>
  </si>
  <si>
    <t>CABLE LEVAGE</t>
  </si>
  <si>
    <t>S-83313-52</t>
  </si>
  <si>
    <t>T-81313-45</t>
  </si>
  <si>
    <t>C-81313-53</t>
  </si>
  <si>
    <t>TELESCOPAGE</t>
  </si>
  <si>
    <t>A-61044-76</t>
  </si>
  <si>
    <t>A-84313-17</t>
  </si>
  <si>
    <t>L-18044-75</t>
  </si>
  <si>
    <t>RETENUE de FLECHE</t>
  </si>
  <si>
    <t>386B</t>
  </si>
  <si>
    <t>Z-01044-19</t>
  </si>
  <si>
    <t>W-01044-40</t>
  </si>
  <si>
    <t>DEPLIAGE FLECHE</t>
  </si>
  <si>
    <t>F-81313-56</t>
  </si>
  <si>
    <t>MDT218-J10</t>
  </si>
  <si>
    <t>CABLE GH à partir de</t>
  </si>
  <si>
    <t>MD345B-L12</t>
  </si>
  <si>
    <t>R-18044-11</t>
  </si>
  <si>
    <t>MDT268-J10</t>
  </si>
  <si>
    <t>F-99044-26</t>
  </si>
  <si>
    <t>diam</t>
  </si>
  <si>
    <t>Diamètre</t>
  </si>
  <si>
    <t>Référence</t>
  </si>
  <si>
    <t>HIGH PERFORMER/E</t>
  </si>
  <si>
    <t>HIGH PERFORMER/S</t>
  </si>
  <si>
    <t xml:space="preserve"> </t>
  </si>
  <si>
    <t>A-61044-53</t>
  </si>
  <si>
    <t>Z-04044-31</t>
  </si>
  <si>
    <t>V-61044-49</t>
  </si>
  <si>
    <t>Z-61044-29</t>
  </si>
  <si>
    <t>S-18044-12</t>
  </si>
  <si>
    <t>T-18044-13</t>
  </si>
  <si>
    <t>A-01044-89</t>
  </si>
  <si>
    <t>Qualité minimum</t>
  </si>
  <si>
    <t>Code origine</t>
  </si>
  <si>
    <t>Levage</t>
  </si>
  <si>
    <t>SM</t>
  </si>
  <si>
    <t>DM</t>
  </si>
  <si>
    <t>q-61044-90</t>
  </si>
  <si>
    <t>Distribution</t>
  </si>
  <si>
    <t>Longueur</t>
  </si>
  <si>
    <t>6 x 19</t>
  </si>
  <si>
    <t>Gamme
GME</t>
  </si>
  <si>
    <t>Gamme 
GMA &amp; GME</t>
  </si>
  <si>
    <t xml:space="preserve">Désignation͢ </t>
  </si>
  <si>
    <t>9SR</t>
  </si>
  <si>
    <t>Diamètre (mm)</t>
  </si>
  <si>
    <t>Type câble</t>
  </si>
  <si>
    <t>référence</t>
  </si>
  <si>
    <t>NU</t>
  </si>
  <si>
    <t>J-00044-01</t>
  </si>
  <si>
    <t>Equip 1B</t>
  </si>
  <si>
    <t>N-01044-32</t>
  </si>
  <si>
    <t>P-00044-06</t>
  </si>
  <si>
    <t>Q-00044-07</t>
  </si>
  <si>
    <t>6 x 19C</t>
  </si>
  <si>
    <t>Intégral 8</t>
  </si>
  <si>
    <t>Duraplus 8SP</t>
  </si>
  <si>
    <t>R-00044-08</t>
  </si>
  <si>
    <t>Type de cable</t>
  </si>
  <si>
    <t>Grue</t>
  </si>
  <si>
    <t>Nb torons origine</t>
  </si>
  <si>
    <t>FR</t>
  </si>
  <si>
    <t>Subject to modification. Do not edit or record.
Sujet à modification. Ne pas imprimer ou enregistrer.</t>
  </si>
  <si>
    <t>ES</t>
  </si>
  <si>
    <t>DE</t>
  </si>
  <si>
    <t>EN</t>
  </si>
  <si>
    <t>ACTIVE</t>
  </si>
  <si>
    <t>NOM BALISES</t>
  </si>
  <si>
    <t>Traduction</t>
  </si>
  <si>
    <t>&gt;&gt;</t>
  </si>
  <si>
    <t>Mouflage</t>
  </si>
  <si>
    <t>Structure</t>
  </si>
  <si>
    <t>Réf. avec boucle</t>
  </si>
  <si>
    <t>AVANT</t>
  </si>
  <si>
    <t>ARRIERE</t>
  </si>
  <si>
    <t>HSC (m)</t>
  </si>
  <si>
    <t>Fouille (m)</t>
  </si>
  <si>
    <t>Longueur de flèche (m)</t>
  </si>
  <si>
    <t>STD 17 x 7</t>
  </si>
  <si>
    <t>Réf.</t>
  </si>
  <si>
    <t>T-85313-15</t>
  </si>
  <si>
    <t>Longueur (m)</t>
  </si>
  <si>
    <t>Grue (rappel)</t>
  </si>
  <si>
    <t>17x7 Standard</t>
  </si>
  <si>
    <t>nb toron 6/9</t>
  </si>
  <si>
    <t>GH</t>
  </si>
  <si>
    <t>Longueur (m)*</t>
  </si>
  <si>
    <t>* Ce calcul ne tient pas compte de la capacité maximum du treuil .</t>
  </si>
  <si>
    <t>EXPLICATION</t>
  </si>
  <si>
    <t>/</t>
  </si>
  <si>
    <t>High Performer E (K)</t>
  </si>
  <si>
    <t>High Performer S (K)</t>
  </si>
  <si>
    <t>Selection</t>
  </si>
  <si>
    <t>Sélection</t>
  </si>
  <si>
    <t>Crane</t>
  </si>
  <si>
    <t>HUH (m)</t>
  </si>
  <si>
    <t>Build</t>
  </si>
  <si>
    <t>REAR ROPE</t>
  </si>
  <si>
    <t>FRONT ROPE</t>
  </si>
  <si>
    <t>PN.</t>
  </si>
  <si>
    <t>Diameter (mm)</t>
  </si>
  <si>
    <t>GME wire ropes</t>
  </si>
  <si>
    <t>GMA wire ropes</t>
  </si>
  <si>
    <t>LG CHARIOT AV</t>
  </si>
  <si>
    <t>BOUCLE 1/0</t>
  </si>
  <si>
    <t>LG</t>
  </si>
  <si>
    <t>207PR (fleche rel)</t>
  </si>
  <si>
    <t>207PR (fleche hor)</t>
  </si>
  <si>
    <t>MC85B</t>
  </si>
  <si>
    <t>C-61044-09</t>
  </si>
  <si>
    <t>Qualite mini</t>
  </si>
  <si>
    <t>MDT222-J12</t>
  </si>
  <si>
    <t>H-01044-96</t>
  </si>
  <si>
    <t>CIR40</t>
  </si>
  <si>
    <t>M</t>
  </si>
  <si>
    <t>CHARIOT AR</t>
  </si>
  <si>
    <t>Fonction</t>
  </si>
  <si>
    <t>Autres câbles</t>
  </si>
  <si>
    <t>RETENUE</t>
  </si>
  <si>
    <t>Référence origine</t>
  </si>
  <si>
    <t>Reference</t>
  </si>
  <si>
    <t>Reference actuelle</t>
  </si>
  <si>
    <t>Diametre</t>
  </si>
  <si>
    <t>AUTRE</t>
  </si>
  <si>
    <t>Function</t>
  </si>
  <si>
    <t>RETAINING</t>
  </si>
  <si>
    <t>TELESCOPING</t>
  </si>
  <si>
    <r>
      <t xml:space="preserve">BACK </t>
    </r>
    <r>
      <rPr>
        <sz val="22"/>
        <color theme="1"/>
        <rFont val="Calibri"/>
        <family val="2"/>
        <scheme val="minor"/>
      </rPr>
      <t>&gt;&gt;</t>
    </r>
  </si>
  <si>
    <t>GMA &lt;&lt;</t>
  </si>
  <si>
    <t>GME &lt;&lt;</t>
  </si>
  <si>
    <t>S-00044-32</t>
  </si>
  <si>
    <t>Z-01044-88</t>
  </si>
  <si>
    <t>A-00044-16</t>
  </si>
  <si>
    <t>D-61044-33</t>
  </si>
  <si>
    <t>X-18044-63</t>
  </si>
  <si>
    <t>Z-00044-15</t>
  </si>
  <si>
    <t>L-01044-99</t>
  </si>
  <si>
    <t>V-00044-12</t>
  </si>
  <si>
    <t>Câbles métalliques GME</t>
  </si>
  <si>
    <t>Câbles métalliques GMA</t>
  </si>
  <si>
    <t>LG FLECHE:</t>
  </si>
  <si>
    <t>/!\ PAS DE GH DEFINIE POUR CETTE GRUE</t>
  </si>
  <si>
    <t xml:space="preserve">/!\ Any standing height founded for </t>
  </si>
  <si>
    <t xml:space="preserve">/!\ Pas de GH définie pour </t>
  </si>
  <si>
    <t>Contactez Manitowoc si hauteur supérieure au standard</t>
  </si>
  <si>
    <t>Contact Manitowoc if above standard</t>
  </si>
  <si>
    <t>Hoist rope</t>
  </si>
  <si>
    <t>Trolley rope</t>
  </si>
  <si>
    <t>Jib Length</t>
  </si>
  <si>
    <t>IGO24</t>
  </si>
  <si>
    <t>IGO26</t>
  </si>
  <si>
    <t>IGO28</t>
  </si>
  <si>
    <t>IGO36</t>
  </si>
  <si>
    <t>IGO42</t>
  </si>
  <si>
    <t>HD40</t>
  </si>
  <si>
    <t>MD485B-M20</t>
  </si>
  <si>
    <t>B-01044-44</t>
  </si>
  <si>
    <t>MD208</t>
  </si>
  <si>
    <t>MD175A</t>
  </si>
  <si>
    <t>MD238-J10</t>
  </si>
  <si>
    <t>MDT178</t>
  </si>
  <si>
    <t>MD509-20T</t>
  </si>
  <si>
    <t>Chrono 30</t>
  </si>
  <si>
    <t>a-00044-16</t>
  </si>
  <si>
    <t xml:space="preserve">B-18044-66 </t>
  </si>
  <si>
    <t>JIB UNFOLDING</t>
  </si>
  <si>
    <t>Digging depth (m)</t>
  </si>
  <si>
    <t>Rope reving</t>
  </si>
  <si>
    <t>Rope type</t>
  </si>
  <si>
    <t>Construction</t>
  </si>
  <si>
    <t>PN. with thimble</t>
  </si>
  <si>
    <t>Other ropes</t>
  </si>
  <si>
    <t>+ 1 BOUCLE</t>
  </si>
  <si>
    <t>SANS BOUCLE</t>
  </si>
  <si>
    <t>+ 1 THIMBLE</t>
  </si>
  <si>
    <t>WITHOUT THIMBLE</t>
  </si>
  <si>
    <t>H30/23C 1,6m</t>
  </si>
  <si>
    <t>MD265B1-J10</t>
  </si>
  <si>
    <t>HD32A</t>
  </si>
  <si>
    <t>Q-74313-60</t>
  </si>
  <si>
    <t>IGOT85A &lt; 604249</t>
  </si>
  <si>
    <t>IGOT85A &gt; 604250</t>
  </si>
  <si>
    <t>LEVAGE CBL SPECIAL</t>
  </si>
  <si>
    <t>LEVAGE (SPECIAL)</t>
  </si>
  <si>
    <t>HOIST ROPE (SPECIAL)</t>
  </si>
  <si>
    <t>MD235A-J12</t>
  </si>
  <si>
    <t>315D</t>
  </si>
  <si>
    <t>D-03313-18</t>
  </si>
  <si>
    <t>A-01044-20</t>
  </si>
  <si>
    <t>6ex</t>
  </si>
  <si>
    <t>nb toron 6ex/6/9</t>
  </si>
  <si>
    <t>MDT128</t>
  </si>
  <si>
    <t>Texte</t>
  </si>
  <si>
    <r>
      <t xml:space="preserve">Pour les câbles de distribution, à partir d'avril 2019, notre gamme de grue est livrée avec des câbles "HIGH PERFORMER" en 9 torons.
C’est une nouvelle construction plus robuste, la durée de vie de ces câbles est significativement augmentée.
Grue gamme GME :
Pour toutes la gamme GME, vous pouvez utiliser les câbles de construction "Standard &amp; Premium" en 6 torons.
Grue gamme GMA :
Dans le cas des grues </t>
    </r>
    <r>
      <rPr>
        <b/>
        <sz val="11"/>
        <color theme="1"/>
        <rFont val="Calibri"/>
        <family val="2"/>
        <scheme val="minor"/>
      </rPr>
      <t>systématiquement équipées d'origine avec des câbles HIGH PERFORMER en 9 torons</t>
    </r>
    <r>
      <rPr>
        <sz val="11"/>
        <color theme="1"/>
        <rFont val="Calibri"/>
        <family val="2"/>
        <scheme val="minor"/>
      </rPr>
      <t>, le remplacement par des câbles "Standard ou Premium" en 6 torons est interdit.
Merci de vous référer à la notice de votre machine, en cas de doute consulter votre contact pièces de rechange à l'adresse suivante:
europetower.parts@manitowoc.com</t>
    </r>
  </si>
  <si>
    <t>Guide service des câbles métaliques</t>
  </si>
  <si>
    <t>Commande GPX3</t>
  </si>
  <si>
    <t>En cas de saisie de plusieurs câbles sur une commande GPX3, il faut commander:
     - pour 1 câble: xx mètres de la référence demandée = 1 ligne de commande.
     - pour 2 câbles: 2 fois xx mètres de la référence demandée = 2 lignes de commande.
     - etc…</t>
  </si>
  <si>
    <t>GPX3 order</t>
  </si>
  <si>
    <t xml:space="preserve">Wire rope service guide </t>
  </si>
  <si>
    <t>In case of order many wires rope on GPX3, you have to order : 
     - For 1 rope : xx meters + PN = 1 control line.
     - For 2 ropes: 2 X  xx mètres + PN = 2 control lines.
     - etc…</t>
  </si>
  <si>
    <t>About trolley rope, since April 2019, our range of cranes is delivered with 9 strands “HIGH PERFORMER” ropes. 
This is a stronger construction, which significantly increases their service life.
GME range : 
For whole GME range, you can use the 6 strands “standard or premium” ropes.
GMA range : 
In case of the cranes are systematically equipped with 9-strand HIGH PERFORMER ropes, it is forbidden to use a 6-strand "Standard or Premium" ropes. 
Please check your crane manual, if you have a question please contact your spare parts representative to : europetower.parts@manitowoc.com</t>
  </si>
  <si>
    <t>MDT218-J8</t>
  </si>
  <si>
    <t>Nombre de grues intégrées :</t>
  </si>
  <si>
    <t>Number of cranes in this database :</t>
  </si>
  <si>
    <t>MDT368-L16</t>
  </si>
  <si>
    <t>Outillage</t>
  </si>
  <si>
    <t>Tools</t>
  </si>
  <si>
    <t>TIRE CABLE DOUBLE TOURNANT</t>
  </si>
  <si>
    <t>Specification</t>
  </si>
  <si>
    <t>Designation</t>
  </si>
  <si>
    <t>8/10</t>
  </si>
  <si>
    <t>10/15</t>
  </si>
  <si>
    <t>15/20</t>
  </si>
  <si>
    <t>20/25</t>
  </si>
  <si>
    <t>25/30</t>
  </si>
  <si>
    <t>30/35</t>
  </si>
  <si>
    <t>Jeu de jauges graduées vérification des poulies de levage</t>
  </si>
  <si>
    <t>BACK &gt;&gt;</t>
  </si>
  <si>
    <t>CABLE PULLING GRIP DOUBLE</t>
  </si>
  <si>
    <t>Jeu de jauges graduées pour vérification des poulies de levage</t>
  </si>
  <si>
    <t>Set of graduate gauges to checking hoist pulley</t>
  </si>
  <si>
    <t>Chrono 45</t>
  </si>
  <si>
    <t>MD265B1-J12</t>
  </si>
  <si>
    <t>MDT308</t>
  </si>
  <si>
    <t>MDT308 100LVF</t>
  </si>
  <si>
    <t>MDT98</t>
  </si>
  <si>
    <t>MDT809-M25</t>
  </si>
  <si>
    <t>MCT78</t>
  </si>
  <si>
    <t>MDT268-J12</t>
  </si>
  <si>
    <t>MDT368-L12</t>
  </si>
  <si>
    <t>MD509-25T</t>
  </si>
  <si>
    <t>Guide service des câbles métalliques</t>
  </si>
  <si>
    <t>P-61032-70</t>
  </si>
  <si>
    <t>Une bonne lubrification prolonge nettement la durée de vie des câbles</t>
  </si>
  <si>
    <t>400 ML
0,50 kg</t>
  </si>
  <si>
    <t>Huile type LC
Préventif: lors des interventions de maintenance, lubrifier le câble à l’aide du produit.
Correctif: en cas de contact du câble avec le sol, ou tout produit pouvant le salir, nettoyer le câble avant usage (si nécessaire avec une brosse métallique), puis le lubrifier.</t>
  </si>
  <si>
    <t>336A</t>
  </si>
  <si>
    <t>A-49313-84</t>
  </si>
  <si>
    <t>C-49313-86</t>
  </si>
  <si>
    <t>IGO MB13</t>
  </si>
  <si>
    <t>IGO M11</t>
  </si>
  <si>
    <t>IGO M14</t>
  </si>
  <si>
    <t>IGO MA21</t>
  </si>
  <si>
    <t>IGO MC13</t>
  </si>
  <si>
    <t>IGO10</t>
  </si>
  <si>
    <t>Q-75313-18</t>
  </si>
  <si>
    <t>R-75313-19</t>
  </si>
  <si>
    <t>346 A/B</t>
  </si>
  <si>
    <t>IGO24F</t>
  </si>
  <si>
    <t>E-81313-78</t>
  </si>
  <si>
    <t>IGO MA13</t>
  </si>
  <si>
    <t>MDT289</t>
  </si>
  <si>
    <t>MDT809-M40</t>
  </si>
  <si>
    <t>MR90C</t>
  </si>
  <si>
    <t>MR295-H16</t>
  </si>
  <si>
    <t>MR295-H20</t>
  </si>
  <si>
    <t>MR298</t>
  </si>
  <si>
    <t>MR418</t>
  </si>
  <si>
    <t>MR608</t>
  </si>
  <si>
    <t>MR618</t>
  </si>
  <si>
    <t>MD559-20T</t>
  </si>
  <si>
    <t>MD569-16T</t>
  </si>
  <si>
    <t>MD569-25T</t>
  </si>
  <si>
    <t>MD689-25T</t>
  </si>
  <si>
    <t>MD689-40T</t>
  </si>
  <si>
    <t>MCT50</t>
  </si>
  <si>
    <t>Câble de levage 24x7</t>
  </si>
  <si>
    <t>PREMIUM</t>
  </si>
  <si>
    <t>7,2 mm</t>
  </si>
  <si>
    <t>B-61044-31</t>
  </si>
  <si>
    <t>8mm</t>
  </si>
  <si>
    <t>X-18044-86</t>
  </si>
  <si>
    <t>9 mm</t>
  </si>
  <si>
    <t>D-99044-24</t>
  </si>
  <si>
    <t>B-61044-08</t>
  </si>
  <si>
    <t>10 mm</t>
  </si>
  <si>
    <t>11 mm</t>
  </si>
  <si>
    <t>T-61044-70</t>
  </si>
  <si>
    <t>12 mm</t>
  </si>
  <si>
    <t>E-99044-25</t>
  </si>
  <si>
    <t>V-18044-84</t>
  </si>
  <si>
    <t>13 mm</t>
  </si>
  <si>
    <t>H-61044-14</t>
  </si>
  <si>
    <t>14 mm</t>
  </si>
  <si>
    <t>16 mm</t>
  </si>
  <si>
    <t>G-99044-27</t>
  </si>
  <si>
    <t>U-61044-48</t>
  </si>
  <si>
    <t>18 mm</t>
  </si>
  <si>
    <t>A-01044-43</t>
  </si>
  <si>
    <t>19 mm</t>
  </si>
  <si>
    <t>E-00044-20</t>
  </si>
  <si>
    <t>20 mm</t>
  </si>
  <si>
    <t>22 mm</t>
  </si>
  <si>
    <t>D-01044-46</t>
  </si>
  <si>
    <t>28 mm</t>
  </si>
  <si>
    <t>34 mm</t>
  </si>
  <si>
    <t>Z-18044-64</t>
  </si>
  <si>
    <t>https://www.manitowoccranes.com/fr-FR/mtw-direct/manitowoc-direct/potain/parts-support</t>
  </si>
  <si>
    <t>HIGH PERFORMER</t>
  </si>
  <si>
    <t>W-18044-85</t>
  </si>
  <si>
    <t>MCT58</t>
  </si>
  <si>
    <t>MD310B 12T</t>
  </si>
  <si>
    <t>MD310C 12T</t>
  </si>
  <si>
    <t>MD310B 16T</t>
  </si>
  <si>
    <t>MD310C 16T</t>
  </si>
  <si>
    <t>MD365B 12T</t>
  </si>
  <si>
    <t>MD365B 16T</t>
  </si>
  <si>
    <t>313B</t>
  </si>
  <si>
    <t>Câbles métalliques MR</t>
  </si>
  <si>
    <t>MR wire ropes</t>
  </si>
  <si>
    <t>MR &lt;&lt;</t>
  </si>
  <si>
    <t>Relevage</t>
  </si>
  <si>
    <t>Relevage rope</t>
  </si>
  <si>
    <t>Auxiliaire</t>
  </si>
  <si>
    <t>LEVAGE</t>
  </si>
  <si>
    <t>RELEVAGE</t>
  </si>
  <si>
    <t>AUXILIAIRE</t>
  </si>
  <si>
    <t>LONGUEUR</t>
  </si>
  <si>
    <t>MD125 A/B</t>
  </si>
  <si>
    <t>Voir catalogue</t>
  </si>
  <si>
    <t>* Ce calcul ne tient pas compte de la capacité maximum du treuil et de l'utilisation.</t>
  </si>
  <si>
    <t>* Calculation doesn't take into account max hoist drum capacity and use.</t>
  </si>
  <si>
    <t>L1</t>
  </si>
  <si>
    <t>LG FLECHE MAX EN 4B</t>
  </si>
  <si>
    <t>332A</t>
  </si>
  <si>
    <t>B-27313-43</t>
  </si>
  <si>
    <t>HD32B</t>
  </si>
  <si>
    <t>B-81313-52</t>
  </si>
  <si>
    <t>REF</t>
  </si>
  <si>
    <t>P-61044-89</t>
  </si>
  <si>
    <t>Auxiliary rope</t>
  </si>
  <si>
    <t>Cable spécifique -&gt; Voir catalogue</t>
  </si>
  <si>
    <t>MR225A 75LVF</t>
  </si>
  <si>
    <t>MR225A 100LVF</t>
  </si>
  <si>
    <t>C-61044-78</t>
  </si>
  <si>
    <t>MR160C 50LVF</t>
  </si>
  <si>
    <t>MR160C 75/100LVF</t>
  </si>
  <si>
    <t>Cable GH à partir de</t>
  </si>
  <si>
    <t>24xK7 Premium (K)</t>
  </si>
  <si>
    <t>24x7 Standard</t>
  </si>
  <si>
    <t>Avertissement</t>
  </si>
  <si>
    <t>Warning</t>
  </si>
  <si>
    <t>SI FLECHE 30 - 35 - 40 - 45m 
-&gt; HAUTEUR MAX CABLE STANDARD  : 60M
SI FLECHE 50 - 55 - 60m 
-&gt; HAUTEUR MAX CABLE STANDARD : 45M</t>
  </si>
  <si>
    <t>GRUE 1B / 2B, PAS DE 4B</t>
  </si>
  <si>
    <t>IF JIB LENGH 30 - 35 - 40 - 45m 
-&gt; MAX HEIGHT WITH STANDARD ROPE  : 60M
IF JIB LENGH 50 - 55 - 60m 
-&gt; MAX HEIGHT WITH STANDARD ROPE : 45M</t>
  </si>
  <si>
    <t>GRUE 1Brin / 2Brins, PAS  4Brins</t>
  </si>
  <si>
    <t>CRANE 1Fall / 2Falls, NOT 4Falls</t>
  </si>
  <si>
    <t>Specific rope  -&gt; Refer to crane manual</t>
  </si>
  <si>
    <t>Good lubrication improves lifespan of wire ropes</t>
  </si>
  <si>
    <t>LC oil for wire rope
Use during maintenance time or to lubricate after cleanning</t>
  </si>
  <si>
    <t>HD36</t>
  </si>
  <si>
    <t>IGOT130</t>
  </si>
  <si>
    <t>IGOT70A</t>
  </si>
  <si>
    <t>G-15313-69</t>
  </si>
  <si>
    <t>116A</t>
  </si>
  <si>
    <t>PAS DE CABLE</t>
  </si>
  <si>
    <t>331B</t>
  </si>
  <si>
    <t>N-43313-03</t>
  </si>
  <si>
    <t>HIGH</t>
  </si>
  <si>
    <t>Cable en fin de stock</t>
  </si>
  <si>
    <t>Rouge =</t>
  </si>
  <si>
    <t>Q-61044-90</t>
  </si>
  <si>
    <r>
      <t>C-61044-09</t>
    </r>
    <r>
      <rPr>
        <sz val="11"/>
        <color rgb="FFFF0000"/>
        <rFont val="Calibri"/>
        <family val="2"/>
        <scheme val="minor"/>
      </rPr>
      <t xml:space="preserve"> </t>
    </r>
  </si>
  <si>
    <t>MD208A</t>
  </si>
  <si>
    <t>MD208A 75LVF</t>
  </si>
  <si>
    <t>MDT248-J10</t>
  </si>
  <si>
    <t>325A</t>
  </si>
  <si>
    <t xml:space="preserve">	C-30313-33</t>
  </si>
  <si>
    <t>MD285A-J12</t>
  </si>
  <si>
    <t>HD21A</t>
  </si>
  <si>
    <t>q-73313-33</t>
  </si>
  <si>
    <t>STANDARD</t>
  </si>
  <si>
    <t>84058974 (1)</t>
  </si>
  <si>
    <t>84075201 (1)</t>
  </si>
  <si>
    <t>84058978 (2)</t>
  </si>
  <si>
    <t>84075197 (2)</t>
  </si>
  <si>
    <t>Spécifique</t>
  </si>
  <si>
    <r>
      <t>84058916</t>
    </r>
    <r>
      <rPr>
        <sz val="11"/>
        <color rgb="FFFF0000"/>
        <rFont val="Calibri"/>
        <family val="2"/>
        <scheme val="minor"/>
      </rPr>
      <t xml:space="preserve"> (3)</t>
    </r>
  </si>
  <si>
    <t>IGOT99</t>
  </si>
  <si>
    <t>HUP M28-22</t>
  </si>
  <si>
    <t>Data colisage</t>
  </si>
  <si>
    <t>CABLE METALLIQUE|D9 RR</t>
  </si>
  <si>
    <t>CABLE METALLIQUE|D10 RR</t>
  </si>
  <si>
    <t>CABLE METALLIQUE|D13 RR</t>
  </si>
  <si>
    <t>CABLE METALLIQUE|D11 RR</t>
  </si>
  <si>
    <t>CABLE METALLIQUE|D14 RR</t>
  </si>
  <si>
    <t>CABLE METALLIQUE|D16 RR</t>
  </si>
  <si>
    <t>CABLE METALLIQUE|D18 RR</t>
  </si>
  <si>
    <t>CABLE METALLIQUE|ANTI D34 SP CULOTTE</t>
  </si>
  <si>
    <t>CABLE METALLIQUE|D11 RR PREMIUM</t>
  </si>
  <si>
    <t>CABLE METALLIQUE|D8 RR PREMIUM</t>
  </si>
  <si>
    <t>CABLE METALLIQUE|D8 RR</t>
  </si>
  <si>
    <t>CABLE METALLIQUE|D12 RR</t>
  </si>
  <si>
    <t>CABLE METALLIQUE|D19 RR</t>
  </si>
  <si>
    <t>CABLE METALLIQUE|D20 RR</t>
  </si>
  <si>
    <t>CABLE METALLIQUE|D7.2 RR</t>
  </si>
  <si>
    <t>CABLE METALLIQUE|ANTI D28 SP MANCHON</t>
  </si>
  <si>
    <t>CABLE METALLIQUE|D20 AVEC MANCHON</t>
  </si>
  <si>
    <t>CABLE METALLIQUE|D26 AVEC CULOTTAGE</t>
  </si>
  <si>
    <t>CABLE METALLIQUE|D12 RR H-PERF</t>
  </si>
  <si>
    <t>CABLE METALLIQUE|D13 RR H-PERF</t>
  </si>
  <si>
    <t>CABLE METALLIQUE|D14 RR H-PERF</t>
  </si>
  <si>
    <t>CABLE METALLIQUE|D16 RR H-PERF</t>
  </si>
  <si>
    <t>CABLE METALLIQUE|D18 RR H-PERF</t>
  </si>
  <si>
    <t>CABLE METALLIQUE|D19 RR H-PERF</t>
  </si>
  <si>
    <t>CABLE METALLIQUE|D20 RR+ H-PERF</t>
  </si>
  <si>
    <t>CABLE METALLIQUE|D22 RR+ H-PERF</t>
  </si>
  <si>
    <t>CABLE METALLIQUE|D26 RR+ H-PERF</t>
  </si>
  <si>
    <t>CABLE METALLIQUE|D28 RR+ H-PERF</t>
  </si>
  <si>
    <t>CABLE METALLIQUE|D34 RR+ H-PERF</t>
  </si>
  <si>
    <t>CABLE METALLIQUE|D7.2 RR PREMIUM</t>
  </si>
  <si>
    <t>CABLE METALLIQUE|D9 RR PREMIUM</t>
  </si>
  <si>
    <t>CABLE METALLIQUE|D10 RR PREMIUM</t>
  </si>
  <si>
    <t>CABLE METALLIQUE|D12 RR PREMIUM</t>
  </si>
  <si>
    <t>CABLE METALLIQUE|D6,7 RR STD 1BC</t>
  </si>
  <si>
    <t>CABLE METALLIQUE|D7,2 RR 1BC</t>
  </si>
  <si>
    <t>CABLE METALLIQUE|D8 RR 1BC</t>
  </si>
  <si>
    <t>CABLE METALLIQUE|D9 RR 1BC</t>
  </si>
  <si>
    <t>CABLE METALLIQUE|D8 RR PREMIUM 1BC</t>
  </si>
  <si>
    <t>CABLE METALLIQUE|D7,2 RR PREMIUM 1BC</t>
  </si>
  <si>
    <t>CABLE METALLIQUE|D9 RR PREMIUM 1BC</t>
  </si>
  <si>
    <t>CABLE METALLIQUE D10 RR 1BC</t>
  </si>
  <si>
    <t>CABLE METALLIQUE|D10 RR PREMIUM 1BC</t>
  </si>
  <si>
    <t>CABLE-METAL ANTI D12 STD</t>
  </si>
  <si>
    <t>CABLE-METAL ANTI D13 STD</t>
  </si>
  <si>
    <t>CABLE-METAL ANTI D6,7 STD</t>
  </si>
  <si>
    <t>CABLE-METAL ANTI D16 STD</t>
  </si>
  <si>
    <t>CABLE-METAL ANTI D6 STD</t>
  </si>
  <si>
    <t>CABLE-METAL ANTI D9 STD</t>
  </si>
  <si>
    <t>CABLE-METAL ANTI D10 STD</t>
  </si>
  <si>
    <t>CABLE-METAL ANTI D14 STD</t>
  </si>
  <si>
    <t>Poids kg / ml</t>
  </si>
  <si>
    <t>CABLE METALLIQUE|D12 SR H-PERF</t>
  </si>
  <si>
    <t>CABLE METALLIQUE|D14 SR H-PERF</t>
  </si>
  <si>
    <t>CABLE METALLIQUE|D6 SR PREMIUM</t>
  </si>
  <si>
    <t>CABLE METALLIQUE|D6.5 SR PREMIUM</t>
  </si>
  <si>
    <t>CABLE METALLIQUE|D7 SR PREMIUM</t>
  </si>
  <si>
    <t>CABLE METALLIQUE|D7.5 NRR</t>
  </si>
  <si>
    <t>CABLE METALLIQUE|D8 SR PREMIUM</t>
  </si>
  <si>
    <t>CABLE METALLIQUE|D9 SR H-PERF</t>
  </si>
  <si>
    <t>CABLE METALLIQUE|D10 SR PREMIUM</t>
  </si>
  <si>
    <t>CABLE METALLIQUE|D12 SR PREMIUM</t>
  </si>
  <si>
    <t>CABLE METALLIQUE D6 NRR|HIGH PERFORMER</t>
  </si>
  <si>
    <t>CABLE METALLIQUE|D6.5 SR H-PERF</t>
  </si>
  <si>
    <t>CABLE METALLIQUE|D7.5 SR PREMIUM</t>
  </si>
  <si>
    <t>CABLE METALLIQUE|D9 SR PREMIUM</t>
  </si>
  <si>
    <t>CABLE METALLIQUE|D5,6 SR 1BC</t>
  </si>
  <si>
    <t>CABLE METALLIQUE|D11 SR 1BC</t>
  </si>
  <si>
    <t>CABLE METALLIQUE|D14 SR 1BC</t>
  </si>
  <si>
    <t>CABLE METALLIQUE|D6 SR PREMIUM 1BC</t>
  </si>
  <si>
    <t>CABLE METALLIQUE|D6,5 SR PREMIUM 1BC</t>
  </si>
  <si>
    <t>CABLE METALLIQUE|D7 SR PREMIUM 1BC</t>
  </si>
  <si>
    <t>CABLE METALLIQUE|D7,5 SR 1BC</t>
  </si>
  <si>
    <t>CABLE METALLIQUE|D8 SR PREMIUM 1BC</t>
  </si>
  <si>
    <t>CABLE METALLIQUE|D9 SR PREMIUM 1BC</t>
  </si>
  <si>
    <t>CABLE METALLIQUE|D11 SR PREMIUM 1BC</t>
  </si>
  <si>
    <t>CABLE METALLIQUE|D12 SR H-PERF 1BC</t>
  </si>
  <si>
    <t>CABLE METALLIQUE|D6 SR H-PERF 1BC</t>
  </si>
  <si>
    <t>CABLE METALLIQUE|D6,5 SR H-PERF 1BC</t>
  </si>
  <si>
    <t>CABLE METALLIQUE|D7 SR H-PERF 1BC</t>
  </si>
  <si>
    <t>CABLE METALLIQUE|D7,5 SR H-PERF 1BC</t>
  </si>
  <si>
    <t>CABLE METALLIQUE|D9 SR H-PERF 1BC</t>
  </si>
  <si>
    <t>CABLE METALLIQUE|D14 SR H-PERF 1BC</t>
  </si>
  <si>
    <t>CABLE_D7_NRR|D7 NRR</t>
  </si>
  <si>
    <t>CABLE METALLIQUE|D11 SR PREMIUM</t>
  </si>
  <si>
    <t>CABLE METALLIQUE|D10 SR PREMIUM 1BC</t>
  </si>
  <si>
    <t>CABLE METALLIQUE|D5.6 SR</t>
  </si>
  <si>
    <t>CABLE-METAL D11</t>
  </si>
  <si>
    <t>CABLE D14 6T 180 GAL</t>
  </si>
  <si>
    <t>DISTRIBUTION</t>
  </si>
  <si>
    <t>Poids pour</t>
  </si>
  <si>
    <t xml:space="preserve">Poids pour </t>
  </si>
  <si>
    <t xml:space="preserve">Weight for </t>
  </si>
  <si>
    <t xml:space="preserve">MR </t>
  </si>
  <si>
    <t>CABLE-METAL D18|D18</t>
  </si>
  <si>
    <t>CABLE-METAL D20 GAUCHE</t>
  </si>
  <si>
    <t>SPECIF</t>
  </si>
  <si>
    <t>CABLE METALLIQUE|ANTI D10</t>
  </si>
  <si>
    <t>CABLE-METAL D14</t>
  </si>
  <si>
    <t>B-18044-66</t>
  </si>
  <si>
    <t>CABLE D12 L108880 1B GAL</t>
  </si>
  <si>
    <t>CABLE D6 L108000 1B GAL</t>
  </si>
  <si>
    <t>CABLE D14 L112200 1B 346</t>
  </si>
  <si>
    <t>CABLE METALLIQUE|D15 SR</t>
  </si>
  <si>
    <t>T2</t>
  </si>
  <si>
    <t>T3</t>
  </si>
  <si>
    <t>T4</t>
  </si>
  <si>
    <t>T5</t>
  </si>
  <si>
    <t>TYPE TOURET</t>
  </si>
  <si>
    <t>COLISAGE</t>
  </si>
  <si>
    <t>Repere colonne</t>
  </si>
  <si>
    <t>51 x 51 x 33 cm</t>
  </si>
  <si>
    <t>61 x 61 x 51 cm</t>
  </si>
  <si>
    <t>75 x 75 x 62 cm</t>
  </si>
  <si>
    <t xml:space="preserve">120 x 120 x 70 cm </t>
  </si>
  <si>
    <t xml:space="preserve">Dimensions du touret </t>
  </si>
  <si>
    <t>X</t>
  </si>
  <si>
    <t>Pour la dimension contacter Manitowoc</t>
  </si>
  <si>
    <t>For dimensions, please contact Manitowoc</t>
  </si>
  <si>
    <t>Pour la dimension, contacter Manitowoc</t>
  </si>
  <si>
    <t>Diametre / Longueur max (m)</t>
  </si>
  <si>
    <t>MAJ</t>
  </si>
  <si>
    <t>6 x 19 Standard</t>
  </si>
  <si>
    <t>6 x 19K Premium</t>
  </si>
  <si>
    <t>9 x High Performer</t>
  </si>
  <si>
    <t>208A ou B</t>
  </si>
  <si>
    <t>208c</t>
  </si>
  <si>
    <t>Cliquez-ici</t>
  </si>
  <si>
    <t>CABLE METALLIQUE|D14 RR PREMIUM</t>
  </si>
  <si>
    <t>PREMIUM BOUCLE</t>
  </si>
  <si>
    <t>STANDARD 
BOUCLE</t>
  </si>
  <si>
    <t>AVEC 1 BOUCLE</t>
  </si>
  <si>
    <r>
      <t xml:space="preserve">Câbles de distribution | </t>
    </r>
    <r>
      <rPr>
        <b/>
        <sz val="12"/>
        <color rgb="FFC00000"/>
        <rFont val="Calibri"/>
        <family val="2"/>
      </rPr>
      <t>Data</t>
    </r>
  </si>
  <si>
    <r>
      <t xml:space="preserve">Câbles spéciaux (Telesco,retenue, depliage…) | </t>
    </r>
    <r>
      <rPr>
        <b/>
        <sz val="12"/>
        <color rgb="FFC00000"/>
        <rFont val="Calibri"/>
        <family val="2"/>
      </rPr>
      <t>Data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C00000"/>
        <rFont val="Calibri"/>
        <family val="2"/>
      </rPr>
      <t>/!\ Ne pas mettre deux fois la même réf d'origine</t>
    </r>
  </si>
  <si>
    <r>
      <t xml:space="preserve">Câbles antigiratoires | </t>
    </r>
    <r>
      <rPr>
        <b/>
        <sz val="12"/>
        <color rgb="FFC00000"/>
        <rFont val="Calibri"/>
        <family val="2"/>
      </rPr>
      <t>Data</t>
    </r>
  </si>
  <si>
    <t>Après ajout d'info ici
-&gt; Renseigner la correspondane dans le tableau suivant :</t>
  </si>
  <si>
    <t>Réf. initiale</t>
  </si>
  <si>
    <r>
      <t xml:space="preserve">84058918 </t>
    </r>
    <r>
      <rPr>
        <sz val="11"/>
        <color rgb="FFFF0000"/>
        <rFont val="Calibri"/>
        <family val="2"/>
        <scheme val="minor"/>
      </rPr>
      <t>(3)</t>
    </r>
  </si>
  <si>
    <t>MANCHON</t>
  </si>
  <si>
    <t>Z-01044-65</t>
  </si>
  <si>
    <t>326D</t>
  </si>
  <si>
    <t>K-49313-70</t>
  </si>
  <si>
    <t>LG MAX FLECHE (2B)</t>
  </si>
  <si>
    <t>MR295-H25</t>
  </si>
  <si>
    <t>MDT489-M25</t>
  </si>
  <si>
    <t>310A</t>
  </si>
  <si>
    <t>D-02313-60</t>
  </si>
  <si>
    <t xml:space="preserve">MD485 </t>
  </si>
  <si>
    <t xml:space="preserve"> +5% pour les diamètres du 8 à 26mm</t>
  </si>
  <si>
    <t xml:space="preserve"> +5% all diameters from 8 to 26mm</t>
  </si>
  <si>
    <t>MDT162</t>
  </si>
  <si>
    <t xml:space="preserve">HAF </t>
  </si>
  <si>
    <t>(hauteur d'axe d'articulation de flèche)</t>
  </si>
  <si>
    <t>HAF</t>
  </si>
  <si>
    <r>
      <t xml:space="preserve">84077539 </t>
    </r>
    <r>
      <rPr>
        <sz val="11"/>
        <color rgb="FFFF0000"/>
        <rFont val="Calibri"/>
        <family val="2"/>
        <scheme val="minor"/>
      </rPr>
      <t>(*)</t>
    </r>
  </si>
  <si>
    <r>
      <t>84058917</t>
    </r>
    <r>
      <rPr>
        <sz val="11"/>
        <color rgb="FFFF0000"/>
        <rFont val="Calibri"/>
        <family val="2"/>
        <scheme val="minor"/>
      </rPr>
      <t xml:space="preserve"> (3)</t>
    </r>
  </si>
  <si>
    <r>
      <t xml:space="preserve">84058919 </t>
    </r>
    <r>
      <rPr>
        <sz val="11"/>
        <color rgb="FFFF0000"/>
        <rFont val="Calibri"/>
        <family val="2"/>
        <scheme val="minor"/>
      </rPr>
      <t>(3)</t>
    </r>
  </si>
  <si>
    <r>
      <t xml:space="preserve">84058920 </t>
    </r>
    <r>
      <rPr>
        <sz val="11"/>
        <color rgb="FFFF0000"/>
        <rFont val="Calibri"/>
        <family val="2"/>
        <scheme val="minor"/>
      </rPr>
      <t>(3)</t>
    </r>
  </si>
  <si>
    <t>(Jib articulate pin height)</t>
  </si>
  <si>
    <t>(Hauteur d'axe d'Articulation de Flèche)</t>
  </si>
  <si>
    <t>MAJ 10/02/2022</t>
  </si>
  <si>
    <r>
      <t>P</t>
    </r>
    <r>
      <rPr>
        <b/>
        <sz val="20"/>
        <color rgb="FF495151"/>
        <rFont val="Calibri"/>
        <family val="2"/>
        <scheme val="minor"/>
      </rPr>
      <t>ièces</t>
    </r>
    <r>
      <rPr>
        <b/>
        <sz val="28"/>
        <color rgb="FF495151"/>
        <rFont val="Calibri"/>
        <family val="2"/>
        <scheme val="minor"/>
      </rPr>
      <t xml:space="preserve"> </t>
    </r>
    <r>
      <rPr>
        <b/>
        <sz val="20"/>
        <color rgb="FF495151"/>
        <rFont val="Calibri"/>
        <family val="2"/>
        <scheme val="minor"/>
      </rPr>
      <t>de</t>
    </r>
    <r>
      <rPr>
        <b/>
        <sz val="28"/>
        <color rgb="FF495151"/>
        <rFont val="Calibri"/>
        <family val="2"/>
        <scheme val="minor"/>
      </rPr>
      <t xml:space="preserve"> R</t>
    </r>
    <r>
      <rPr>
        <b/>
        <sz val="20"/>
        <color rgb="FF495151"/>
        <rFont val="Calibri"/>
        <family val="2"/>
        <scheme val="minor"/>
      </rPr>
      <t>echanges</t>
    </r>
  </si>
  <si>
    <t>Spare Parts</t>
  </si>
  <si>
    <t>Length (m)</t>
  </si>
  <si>
    <t>Length (m)*</t>
  </si>
  <si>
    <t>Dimensions touret (DM)</t>
  </si>
  <si>
    <t>Reel dimensions (DM)</t>
  </si>
  <si>
    <t>Reel dimensions (SM)</t>
  </si>
  <si>
    <t>Dimensions touret (SM)</t>
  </si>
  <si>
    <t>Remarque : Lors de l'ajout d'un nouveau cable, ne pas oublier de renseigner son poids dans la base "COLISAGE"</t>
  </si>
  <si>
    <t>CABLE METALLIQUE|D13 RR PREMIUM</t>
  </si>
  <si>
    <t>CABLE METALLIQUE|D18 RR PREMIUM</t>
  </si>
  <si>
    <t>CABLE METALLIQUE|D6,7 RR</t>
  </si>
  <si>
    <t>CABLE METALLIQUE|D11 RR 1BC</t>
  </si>
  <si>
    <t>CABLE METALLIQUE|D11 RR PRENIUM 1BC</t>
  </si>
  <si>
    <t>LG MORTE L1 en 2B (SM) / fleche</t>
  </si>
  <si>
    <t>Si poids inférieur a 0,1Kg/M, le passer à 0 pour éviter les confusions</t>
  </si>
  <si>
    <t>Reel dimensions</t>
  </si>
  <si>
    <t>Dimensions touret</t>
  </si>
  <si>
    <t xml:space="preserve">26 mm
</t>
  </si>
  <si>
    <t>84058971 Ø6</t>
  </si>
  <si>
    <t>84075189 Ø6</t>
  </si>
  <si>
    <t>MDT248-J12</t>
  </si>
  <si>
    <t xml:space="preserve">Consulter bulletin sur GPX3 </t>
  </si>
  <si>
    <t>Consult the bulletin on GPX3</t>
  </si>
  <si>
    <t>Hauteur Limite pour le cable Premium (m)</t>
  </si>
  <si>
    <t>HSC (m) limite pour le cable Premium</t>
  </si>
  <si>
    <t>Limit HUH (m) for Premium ropes</t>
  </si>
  <si>
    <t>MC310 K12</t>
  </si>
  <si>
    <t xml:space="preserve">LEVAGE (24xK7 UNIQUEMENT) </t>
  </si>
  <si>
    <t xml:space="preserve">HOIST ROPE (24xK7 ONLY) </t>
  </si>
  <si>
    <t>NC</t>
  </si>
  <si>
    <t>SP85 4D3V3</t>
  </si>
  <si>
    <t>SP85 3D2V5</t>
  </si>
  <si>
    <t>Merci de vous référer à la notice de votre machine, en cas de doute consulter votre contact pièces de rechange à l'adresse suivante : europetower.parts@manitowoc.com
Vous pouvez également consulter notre fichier d'aide en ligne "Câbles métalliques", sur notre site My Potain en copiant le lien ci-dessous:</t>
  </si>
  <si>
    <t>En cas de demande de 
la référence :</t>
  </si>
  <si>
    <t xml:space="preserve">Commentaires </t>
  </si>
  <si>
    <t>6 mm</t>
  </si>
  <si>
    <r>
      <t xml:space="preserve">84058929 </t>
    </r>
    <r>
      <rPr>
        <sz val="11"/>
        <color rgb="FFFF0000"/>
        <rFont val="Calibri"/>
        <family val="2"/>
        <scheme val="minor"/>
      </rPr>
      <t>(*)</t>
    </r>
  </si>
  <si>
    <t>(*) /!\ câble 19xK7</t>
  </si>
  <si>
    <t>6,7mm</t>
  </si>
  <si>
    <r>
      <t>84058930</t>
    </r>
    <r>
      <rPr>
        <sz val="11"/>
        <color rgb="FFFF0000"/>
        <rFont val="Calibri"/>
        <family val="2"/>
        <scheme val="minor"/>
      </rPr>
      <t xml:space="preserve"> (*)</t>
    </r>
  </si>
  <si>
    <t>Câble équipé 1BC</t>
  </si>
  <si>
    <t>W-00044-13</t>
  </si>
  <si>
    <t>CABLE-METAL ANTI D7,5 STD</t>
  </si>
  <si>
    <t>câble équipé 1BC</t>
  </si>
  <si>
    <t>CABLE-METAL ANTI D8 PRF</t>
  </si>
  <si>
    <t>X-01044-87</t>
  </si>
  <si>
    <t>CABLE-METAL ANTI D8,2</t>
  </si>
  <si>
    <t>CABLE-METAL ANTI D9 PRF</t>
  </si>
  <si>
    <t>CABLE METAL ANTI D9 PRF</t>
  </si>
  <si>
    <t>CABLE-METAL ANTI D10 PRF</t>
  </si>
  <si>
    <t>D-99044-01</t>
  </si>
  <si>
    <t>A-61044-07</t>
  </si>
  <si>
    <t>CABLE-METAL ANTI D10,5 STD</t>
  </si>
  <si>
    <t>CABLE-METAL ANTI D11 PRF</t>
  </si>
  <si>
    <t>N-61044-42</t>
  </si>
  <si>
    <t>CABLE-METAL ANTI D11 STD</t>
  </si>
  <si>
    <t xml:space="preserve">12 mm </t>
  </si>
  <si>
    <t>Pour longueur supérieur à 400m de câble 
commander 84058875
(3) Pour MDTXX0 et MDTXX2, il est préconisé de fournir du câble "High Performer"</t>
  </si>
  <si>
    <t>E-99044-02</t>
  </si>
  <si>
    <t>CABLE METAL ANTI D12 PRF</t>
  </si>
  <si>
    <t>CABLE-METAL ANTI D12 PRF</t>
  </si>
  <si>
    <t>CABLE-METAL ANTI D13 PRF</t>
  </si>
  <si>
    <t>Pour longueur supérieur à 400m de câble 
commander 84058876
(3) Pour MDTXX0 et MDTXX2, il est préconisé de fournir du câble "High Performer"</t>
  </si>
  <si>
    <t>F-99044-03</t>
  </si>
  <si>
    <t>CABLE METALLIQUE|D13 RR+ PREMIUM</t>
  </si>
  <si>
    <t>CABLE METALLIQUE|GH D13 PREMIUM</t>
  </si>
  <si>
    <t>Pour longueur supérieur à 400m de câble 
commander 84058877
(3) Pour MDTXX0 et MDTXX2, il est préconisé de fournir du câble "High Performer"</t>
  </si>
  <si>
    <t>CABLE-METAL ANTI D14 PRF</t>
  </si>
  <si>
    <t>P-99044-11</t>
  </si>
  <si>
    <t>CABLE-METAL ANTI D14 SPR</t>
  </si>
  <si>
    <t>CABLE METALLIQUE|D14 RR+ PREMIUM</t>
  </si>
  <si>
    <t>Pour longueur supérieur à 400m de câble 
commander 84058878
(3) Pour MDTXX0 et MDTXX2, il est préconisé de fournir du câble "High Performer"</t>
  </si>
  <si>
    <t>CABLE METALLIQUE|D16 RR PREMIUM</t>
  </si>
  <si>
    <t>CABLE METAL ANTI D16 PRF</t>
  </si>
  <si>
    <t>CABLE-METAL ANTI D16 PRF</t>
  </si>
  <si>
    <t>CABLE METALLIQUE|D16 RR+ PREMIUM</t>
  </si>
  <si>
    <t>CABLE-METAL ANTI D18 PRF</t>
  </si>
  <si>
    <t>Pour longueur supérieur à 400m de câble 
commander 84058879
(3) Pour MDTXX0 et MDTXX2, il est préconisé de fournir du câble "High Performer"</t>
  </si>
  <si>
    <t>P-61044-66</t>
  </si>
  <si>
    <t>CABLE-METAL ANTI D18</t>
  </si>
  <si>
    <t>J-99044-06</t>
  </si>
  <si>
    <t>CABLE-METAL ANTI D18 Std</t>
  </si>
  <si>
    <t>CABLE-METAL ANTI D18 STD</t>
  </si>
  <si>
    <t>CABLE METALLIQUE|D18 RR+ PREMIUM</t>
  </si>
  <si>
    <t xml:space="preserve">Cable plus proposé en PR </t>
  </si>
  <si>
    <t>CABLE METALLIQUE|D19 RR PREMIUM</t>
  </si>
  <si>
    <t>CABLE METALLIQUE|D19 RR+ H-PERF</t>
  </si>
  <si>
    <t>CABLE-METAL ANTI D19</t>
  </si>
  <si>
    <t>Pour longueur supérieur à 400m de câble 
commander 84058896</t>
  </si>
  <si>
    <t>CABLE METALLIQUE|D20 RR PREMIUM</t>
  </si>
  <si>
    <t>CABLE METALLIQUE|D20 RR+ PREMIUM</t>
  </si>
  <si>
    <r>
      <t xml:space="preserve">Câble  avec manchon </t>
    </r>
    <r>
      <rPr>
        <sz val="11"/>
        <color theme="1"/>
        <rFont val="Calibri"/>
        <family val="2"/>
      </rPr>
      <t>→</t>
    </r>
  </si>
  <si>
    <t>CABLE METALLIQUE|D22 RR+ PREMIUM</t>
  </si>
  <si>
    <t>CABLE-METAL ANTI D22 PRF</t>
  </si>
  <si>
    <t>CABLE METALLIQUE|D26 RR+ PREMIUM</t>
  </si>
  <si>
    <t>CABLE METALLIQUE|ANTI D28 SP</t>
  </si>
  <si>
    <t>CABLE METALLIQUE|D28 RR+ PREMIUM</t>
  </si>
  <si>
    <t>CABLE-ANTI D34 SP</t>
  </si>
  <si>
    <t>CABLE METALLIQUE|D34 RR+ PREMIUM</t>
  </si>
  <si>
    <t>Câble  avec manchon</t>
  </si>
  <si>
    <t xml:space="preserve">Uniquement pour MR618 </t>
  </si>
  <si>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color rgb="FF0070C0"/>
        <rFont val="Calibri"/>
        <family val="2"/>
        <scheme val="minor"/>
      </rPr>
      <t>Attention!</t>
    </r>
    <r>
      <rPr>
        <sz val="11"/>
        <color rgb="FF0070C0"/>
        <rFont val="Calibri"/>
        <family val="2"/>
        <scheme val="minor"/>
      </rPr>
      <t xml:space="preserve"> en cas de demande d'une des références ci-dessus, il faut commander:
     - pour 1 câble: xx mètres de la référence demandée = 1 ligne de commande.
     - pour 2 câbles: 2 fois xx mètres de la référence demandée = 2 lignes de commande.
     - etc…</t>
    </r>
  </si>
  <si>
    <t>Câbles de distribution au mètre</t>
  </si>
  <si>
    <t xml:space="preserve">Pour les câbles de distribution à partir d'avril 2019, notre gamme de grue est livrée avec des câbles "HIGH PERFORMER" en 9 torons. C'est une nouvelle construction plus robuste, la durée de vie de ces câbles est significativement augmentée.
- Grue gamme GME:
Pour toute la gamme GME, vous pouvez utiliser les câbles de construction "Standard &amp; Premium" en 6 torons.
- Grue gamme GMA:
Dans le cas des grues systématiquement équipées d'origine avec des câbles "HIGH PERFORMER" en 9 torons, le remplacement par des câbles "Standard ou Premium" en 6 torons est interdit.
Merci de vous référer à la notice de votre machine, en cas de doute consulter votre contact pièces de rechange à l'adresse suivante : europetower.parts@manitowoc.com
Vous pouvez également consulter notre fichier d'aide en ligne "Câbles métalliques", sur notre site My Potain en copiant le lien ci-dessous. </t>
  </si>
  <si>
    <t xml:space="preserve">En cas de demande de la référence </t>
  </si>
  <si>
    <t>Commentaires</t>
  </si>
  <si>
    <t>5,6 mm</t>
  </si>
  <si>
    <t xml:space="preserve">Nous pouvons proposer du diametre 6mm 
en Prenium </t>
  </si>
  <si>
    <t>S-61044-69</t>
  </si>
  <si>
    <t>6,5 mm</t>
  </si>
  <si>
    <t>7 mm</t>
  </si>
  <si>
    <t>7,5 mm</t>
  </si>
  <si>
    <t>(1) Non compatible IGO T</t>
  </si>
  <si>
    <t>8 mm</t>
  </si>
  <si>
    <t>(2) non compatible MDT809; MDT569 
et MDT489</t>
  </si>
  <si>
    <t>F-61044-35</t>
  </si>
  <si>
    <t>CABLE METALLIQUE|D6 SR</t>
  </si>
  <si>
    <t>CABLE METALLIQUE|D6 SR H-PERF</t>
  </si>
  <si>
    <t>84075179</t>
  </si>
  <si>
    <t>CABLE METALLIQUE|D6 SR 1BC</t>
  </si>
  <si>
    <t>CABLE-METAL D6,5</t>
  </si>
  <si>
    <t>84075180</t>
  </si>
  <si>
    <t>CABLE METALLIQUE|D6,5 SR 1BC</t>
  </si>
  <si>
    <t>84075204</t>
  </si>
  <si>
    <t>84075181</t>
  </si>
  <si>
    <t>CABLE METALLIQUE|D7 SR 1BC</t>
  </si>
  <si>
    <t>CABLE-METAL| D7,5</t>
  </si>
  <si>
    <t>84075182</t>
  </si>
  <si>
    <t>CABLE D8 7T GAL</t>
  </si>
  <si>
    <t>84075183</t>
  </si>
  <si>
    <t>CABLE METALLIQUE|D8 SR 1BC</t>
  </si>
  <si>
    <t>CABLE-METAL D9</t>
  </si>
  <si>
    <t>CABLE METALLIQUE|D9 SR</t>
  </si>
  <si>
    <t>84075184</t>
  </si>
  <si>
    <t>CABLE METALLIQUE|D9 SR 1BC</t>
  </si>
  <si>
    <t>84077840</t>
  </si>
  <si>
    <t>CABLE METALLIQUE|D10 SR 1BC</t>
  </si>
  <si>
    <t>CABLE-METAL D12</t>
  </si>
  <si>
    <t>CABLE METALLIQUE|D12 SR</t>
  </si>
  <si>
    <t>84075187</t>
  </si>
  <si>
    <t>CABLE METALLIQUE|D12 SR 1BC</t>
  </si>
  <si>
    <t>CABLE D14 8X19 216 GAL</t>
  </si>
  <si>
    <r>
      <rPr>
        <b/>
        <u/>
        <sz val="11"/>
        <color rgb="FF0070C0"/>
        <rFont val="Calibri"/>
        <family val="2"/>
        <scheme val="minor"/>
      </rPr>
      <t>Attention!</t>
    </r>
    <r>
      <rPr>
        <sz val="11"/>
        <color rgb="FF0070C0"/>
        <rFont val="Calibri"/>
        <family val="2"/>
        <scheme val="minor"/>
      </rPr>
      <t xml:space="preserve"> en cas de demande d'une des références ci-dessus, il faut commander:
     - pour 1 câble: xx mètres de la référence demandée = 1 ligne de commande.
     - pour 2 câbles: 2 fois xx mètres de la référence demandée = 2 lignes de commande.
     - etc…</t>
    </r>
  </si>
  <si>
    <t>MDT569-M25</t>
  </si>
  <si>
    <t>MDT569-M32</t>
  </si>
  <si>
    <t>MDT809-M32</t>
  </si>
  <si>
    <t>MR418A</t>
  </si>
  <si>
    <t xml:space="preserve"> -&gt; Hauteur limite pour câble prenium</t>
  </si>
  <si>
    <t xml:space="preserve"> -&gt;  Limit height for prenium rope </t>
  </si>
  <si>
    <t>Z-82313-54</t>
  </si>
  <si>
    <t>CABLE METALLIQUE|D6 RR</t>
  </si>
  <si>
    <t>Procédure d'accès au guide service des câbles métalliques</t>
  </si>
  <si>
    <t>How to access the wire rope service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</si>
</sst>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20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FF5B5B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2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C00000"/>
      <name val="Calibri"/>
      <family val="2"/>
    </font>
    <font>
      <b/>
      <sz val="12"/>
      <color rgb="FFC00000"/>
      <name val="Calibri"/>
      <family val="2"/>
    </font>
    <font>
      <sz val="11"/>
      <color rgb="FF272440"/>
      <name val="Calibri"/>
      <family val="2"/>
      <scheme val="minor"/>
    </font>
    <font>
      <b/>
      <sz val="20"/>
      <color rgb="FF49515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49515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0000"/>
      <name val="Calibri"/>
      <family val="2"/>
    </font>
    <font>
      <b/>
      <i/>
      <sz val="11"/>
      <color rgb="FF0070C0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EDCB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thick">
        <color auto="1"/>
      </top>
      <bottom style="medium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ck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 style="thin">
        <color auto="1"/>
      </diagonal>
    </border>
    <border diagonalUp="1">
      <left style="thick">
        <color auto="1"/>
      </left>
      <right/>
      <top/>
      <bottom style="thick">
        <color auto="1"/>
      </bottom>
      <diagonal style="thin">
        <color auto="1"/>
      </diagonal>
    </border>
    <border diagonalUp="1">
      <left style="thick">
        <color auto="1"/>
      </left>
      <right/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 diagonalDown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9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0" borderId="0" xfId="0" applyFont="1"/>
    <xf numFmtId="0" fontId="0" fillId="0" borderId="25" xfId="0" applyBorder="1"/>
    <xf numFmtId="0" fontId="5" fillId="12" borderId="37" xfId="0" applyFont="1" applyFill="1" applyBorder="1" applyAlignment="1">
      <alignment vertical="center" wrapText="1"/>
    </xf>
    <xf numFmtId="0" fontId="5" fillId="12" borderId="39" xfId="0" applyFont="1" applyFill="1" applyBorder="1" applyAlignment="1">
      <alignment horizontal="center" vertical="center" wrapText="1"/>
    </xf>
    <xf numFmtId="0" fontId="4" fillId="18" borderId="25" xfId="0" applyFont="1" applyFill="1" applyBorder="1" applyAlignment="1">
      <alignment horizontal="center" vertical="center"/>
    </xf>
    <xf numFmtId="0" fontId="4" fillId="18" borderId="25" xfId="0" applyFont="1" applyFill="1" applyBorder="1" applyAlignment="1">
      <alignment horizontal="center" vertical="center" wrapText="1"/>
    </xf>
    <xf numFmtId="0" fontId="4" fillId="18" borderId="40" xfId="0" applyFont="1" applyFill="1" applyBorder="1" applyAlignment="1">
      <alignment horizontal="center" vertical="center" wrapText="1"/>
    </xf>
    <xf numFmtId="0" fontId="4" fillId="18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19" borderId="46" xfId="0" applyFont="1" applyFill="1" applyBorder="1" applyAlignment="1">
      <alignment horizontal="center" vertical="center"/>
    </xf>
    <xf numFmtId="0" fontId="4" fillId="19" borderId="46" xfId="0" applyFont="1" applyFill="1" applyBorder="1" applyAlignment="1">
      <alignment horizontal="center" vertical="center" wrapText="1"/>
    </xf>
    <xf numFmtId="0" fontId="4" fillId="15" borderId="43" xfId="0" applyFont="1" applyFill="1" applyBorder="1" applyAlignment="1">
      <alignment horizontal="center" vertical="center" wrapText="1"/>
    </xf>
    <xf numFmtId="164" fontId="4" fillId="18" borderId="29" xfId="0" applyNumberFormat="1" applyFont="1" applyFill="1" applyBorder="1" applyAlignment="1">
      <alignment horizontal="center" vertical="center"/>
    </xf>
    <xf numFmtId="164" fontId="4" fillId="18" borderId="42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/>
    <xf numFmtId="0" fontId="8" fillId="0" borderId="51" xfId="0" applyFont="1" applyBorder="1" applyAlignment="1">
      <alignment wrapText="1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13" fillId="0" borderId="0" xfId="0" applyFont="1" applyAlignment="1">
      <alignment horizontal="left" vertical="center" wrapText="1"/>
    </xf>
    <xf numFmtId="0" fontId="8" fillId="0" borderId="53" xfId="0" applyFont="1" applyBorder="1"/>
    <xf numFmtId="0" fontId="11" fillId="0" borderId="53" xfId="0" applyFont="1" applyBorder="1" applyAlignment="1">
      <alignment horizontal="right" vertical="center"/>
    </xf>
    <xf numFmtId="0" fontId="8" fillId="0" borderId="53" xfId="0" applyFont="1" applyBorder="1" applyAlignment="1">
      <alignment wrapText="1"/>
    </xf>
    <xf numFmtId="0" fontId="12" fillId="0" borderId="5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6" fillId="0" borderId="0" xfId="1" applyFont="1" applyAlignment="1">
      <alignment horizontal="left"/>
    </xf>
    <xf numFmtId="0" fontId="0" fillId="2" borderId="25" xfId="0" applyFill="1" applyBorder="1" applyAlignment="1">
      <alignment horizontal="left" vertical="center"/>
    </xf>
    <xf numFmtId="0" fontId="17" fillId="0" borderId="0" xfId="0" applyFont="1" applyAlignment="1">
      <alignment horizontal="right" vertical="center" indent="2"/>
    </xf>
    <xf numFmtId="0" fontId="0" fillId="0" borderId="54" xfId="0" applyBorder="1"/>
    <xf numFmtId="0" fontId="0" fillId="2" borderId="0" xfId="0" applyFill="1"/>
    <xf numFmtId="0" fontId="0" fillId="0" borderId="55" xfId="0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1" applyFont="1" applyAlignment="1">
      <alignment horizontal="left"/>
    </xf>
    <xf numFmtId="0" fontId="9" fillId="4" borderId="49" xfId="0" applyFont="1" applyFill="1" applyBorder="1" applyAlignment="1">
      <alignment horizontal="left" vertical="center" indent="1"/>
    </xf>
    <xf numFmtId="0" fontId="21" fillId="18" borderId="25" xfId="0" applyFont="1" applyFill="1" applyBorder="1" applyAlignment="1">
      <alignment horizontal="center" vertical="center"/>
    </xf>
    <xf numFmtId="0" fontId="22" fillId="20" borderId="25" xfId="0" applyFont="1" applyFill="1" applyBorder="1" applyAlignment="1">
      <alignment horizontal="center" vertical="center"/>
    </xf>
    <xf numFmtId="0" fontId="21" fillId="18" borderId="25" xfId="0" applyFont="1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1" applyFont="1" applyAlignment="1">
      <alignment horizontal="left"/>
    </xf>
    <xf numFmtId="0" fontId="25" fillId="0" borderId="0" xfId="0" applyFont="1"/>
    <xf numFmtId="0" fontId="23" fillId="0" borderId="25" xfId="0" applyFont="1" applyBorder="1" applyAlignment="1">
      <alignment vertical="center"/>
    </xf>
    <xf numFmtId="0" fontId="0" fillId="0" borderId="25" xfId="0" applyBorder="1" applyAlignment="1">
      <alignment horizontal="center"/>
    </xf>
    <xf numFmtId="0" fontId="0" fillId="12" borderId="25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21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25" xfId="0" applyFill="1" applyBorder="1" applyAlignment="1">
      <alignment horizontal="center" vertical="center" wrapText="1"/>
    </xf>
    <xf numFmtId="0" fontId="22" fillId="20" borderId="35" xfId="0" applyFont="1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1" fillId="11" borderId="13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2" fillId="20" borderId="50" xfId="0" applyFont="1" applyFill="1" applyBorder="1" applyAlignment="1">
      <alignment horizontal="center" vertical="center"/>
    </xf>
    <xf numFmtId="0" fontId="16" fillId="0" borderId="0" xfId="1" applyFont="1" applyBorder="1" applyAlignment="1">
      <alignment horizontal="left"/>
    </xf>
    <xf numFmtId="0" fontId="22" fillId="0" borderId="52" xfId="0" applyFont="1" applyBorder="1" applyAlignment="1">
      <alignment vertical="center"/>
    </xf>
    <xf numFmtId="0" fontId="21" fillId="18" borderId="56" xfId="0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22" fillId="0" borderId="36" xfId="0" applyFont="1" applyBorder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0" fillId="12" borderId="57" xfId="0" applyFill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6" fillId="22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0" fillId="18" borderId="2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0" fillId="18" borderId="0" xfId="0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0" fillId="0" borderId="0" xfId="0" quotePrefix="1"/>
    <xf numFmtId="0" fontId="22" fillId="0" borderId="36" xfId="0" applyFont="1" applyBorder="1" applyAlignment="1">
      <alignment horizontal="right" vertical="center"/>
    </xf>
    <xf numFmtId="0" fontId="0" fillId="18" borderId="59" xfId="0" applyFill="1" applyBorder="1" applyAlignment="1">
      <alignment horizontal="center" vertical="center"/>
    </xf>
    <xf numFmtId="0" fontId="0" fillId="18" borderId="60" xfId="0" applyFill="1" applyBorder="1" applyAlignment="1">
      <alignment horizontal="center" vertical="center"/>
    </xf>
    <xf numFmtId="0" fontId="0" fillId="18" borderId="61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18" borderId="62" xfId="0" applyFill="1" applyBorder="1" applyAlignment="1">
      <alignment horizontal="center" vertical="center" wrapText="1"/>
    </xf>
    <xf numFmtId="0" fontId="0" fillId="18" borderId="60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26" fillId="21" borderId="65" xfId="0" applyFont="1" applyFill="1" applyBorder="1" applyAlignment="1">
      <alignment horizontal="center" vertical="center" wrapText="1"/>
    </xf>
    <xf numFmtId="0" fontId="26" fillId="21" borderId="66" xfId="0" applyFont="1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/>
    </xf>
    <xf numFmtId="0" fontId="26" fillId="21" borderId="66" xfId="0" applyFont="1" applyFill="1" applyBorder="1" applyAlignment="1">
      <alignment horizontal="center" vertical="center"/>
    </xf>
    <xf numFmtId="0" fontId="26" fillId="18" borderId="66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/>
    <xf numFmtId="0" fontId="33" fillId="0" borderId="0" xfId="1" applyFont="1" applyAlignment="1">
      <alignment horizontal="left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5" fillId="0" borderId="0" xfId="1"/>
    <xf numFmtId="0" fontId="34" fillId="23" borderId="4" xfId="0" applyFont="1" applyFill="1" applyBorder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0" xfId="0" applyFont="1"/>
    <xf numFmtId="0" fontId="10" fillId="0" borderId="53" xfId="0" applyFont="1" applyBorder="1" applyAlignment="1">
      <alignment vertical="center"/>
    </xf>
    <xf numFmtId="0" fontId="9" fillId="4" borderId="69" xfId="0" applyFont="1" applyFill="1" applyBorder="1" applyAlignment="1">
      <alignment vertical="center"/>
    </xf>
    <xf numFmtId="0" fontId="9" fillId="4" borderId="68" xfId="0" applyFont="1" applyFill="1" applyBorder="1" applyAlignment="1">
      <alignment vertical="center"/>
    </xf>
    <xf numFmtId="0" fontId="22" fillId="21" borderId="25" xfId="0" applyFont="1" applyFill="1" applyBorder="1" applyAlignment="1">
      <alignment horizontal="left" vertical="center" indent="1"/>
    </xf>
    <xf numFmtId="0" fontId="22" fillId="21" borderId="25" xfId="0" applyFont="1" applyFill="1" applyBorder="1" applyAlignment="1">
      <alignment vertical="center" wrapText="1"/>
    </xf>
    <xf numFmtId="0" fontId="21" fillId="21" borderId="25" xfId="0" applyFont="1" applyFill="1" applyBorder="1" applyAlignment="1">
      <alignment horizontal="center" vertical="center"/>
    </xf>
    <xf numFmtId="0" fontId="21" fillId="21" borderId="25" xfId="0" applyFont="1" applyFill="1" applyBorder="1" applyAlignment="1">
      <alignment vertical="center"/>
    </xf>
    <xf numFmtId="49" fontId="22" fillId="21" borderId="25" xfId="0" applyNumberFormat="1" applyFont="1" applyFill="1" applyBorder="1" applyAlignment="1">
      <alignment horizontal="center" vertical="center"/>
    </xf>
    <xf numFmtId="0" fontId="22" fillId="21" borderId="35" xfId="0" applyFont="1" applyFill="1" applyBorder="1" applyAlignment="1">
      <alignment vertical="center"/>
    </xf>
    <xf numFmtId="0" fontId="21" fillId="21" borderId="36" xfId="0" applyFont="1" applyFill="1" applyBorder="1" applyAlignment="1">
      <alignment horizontal="center" vertical="center"/>
    </xf>
    <xf numFmtId="0" fontId="22" fillId="21" borderId="56" xfId="0" applyFont="1" applyFill="1" applyBorder="1" applyAlignment="1">
      <alignment horizontal="center" vertical="center"/>
    </xf>
    <xf numFmtId="0" fontId="36" fillId="0" borderId="0" xfId="1" applyFont="1" applyAlignment="1">
      <alignment vertical="center"/>
    </xf>
    <xf numFmtId="0" fontId="26" fillId="0" borderId="66" xfId="0" applyFont="1" applyBorder="1" applyAlignment="1">
      <alignment horizontal="center" vertical="center"/>
    </xf>
    <xf numFmtId="0" fontId="22" fillId="21" borderId="25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164" fontId="4" fillId="18" borderId="79" xfId="0" applyNumberFormat="1" applyFont="1" applyFill="1" applyBorder="1" applyAlignment="1">
      <alignment horizontal="center" vertical="center"/>
    </xf>
    <xf numFmtId="0" fontId="4" fillId="19" borderId="73" xfId="0" applyFont="1" applyFill="1" applyBorder="1" applyAlignment="1">
      <alignment horizontal="center" vertical="center"/>
    </xf>
    <xf numFmtId="0" fontId="4" fillId="15" borderId="27" xfId="0" applyFont="1" applyFill="1" applyBorder="1" applyAlignment="1">
      <alignment horizontal="center" vertical="center"/>
    </xf>
    <xf numFmtId="164" fontId="4" fillId="18" borderId="30" xfId="0" applyNumberFormat="1" applyFont="1" applyFill="1" applyBorder="1" applyAlignment="1">
      <alignment horizontal="center" vertical="center"/>
    </xf>
    <xf numFmtId="0" fontId="4" fillId="15" borderId="27" xfId="0" applyFont="1" applyFill="1" applyBorder="1" applyAlignment="1">
      <alignment vertical="center"/>
    </xf>
    <xf numFmtId="0" fontId="4" fillId="15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15" borderId="38" xfId="0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4" fillId="14" borderId="32" xfId="0" applyFont="1" applyFill="1" applyBorder="1" applyAlignment="1">
      <alignment horizontal="center" vertical="center"/>
    </xf>
    <xf numFmtId="0" fontId="4" fillId="14" borderId="77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 wrapText="1"/>
    </xf>
    <xf numFmtId="0" fontId="0" fillId="26" borderId="25" xfId="0" applyFill="1" applyBorder="1" applyAlignment="1">
      <alignment horizontal="center"/>
    </xf>
    <xf numFmtId="0" fontId="0" fillId="8" borderId="25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4" fillId="23" borderId="83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0" fillId="6" borderId="25" xfId="0" applyFill="1" applyBorder="1" applyAlignment="1">
      <alignment vertical="center" wrapText="1"/>
    </xf>
    <xf numFmtId="0" fontId="0" fillId="8" borderId="25" xfId="0" applyFill="1" applyBorder="1" applyAlignment="1">
      <alignment vertical="center" wrapText="1"/>
    </xf>
    <xf numFmtId="0" fontId="41" fillId="0" borderId="0" xfId="0" applyFont="1"/>
    <xf numFmtId="0" fontId="0" fillId="3" borderId="13" xfId="0" applyFill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2" fillId="6" borderId="25" xfId="0" applyFont="1" applyFill="1" applyBorder="1" applyAlignment="1">
      <alignment vertical="center" wrapText="1"/>
    </xf>
    <xf numFmtId="0" fontId="42" fillId="8" borderId="25" xfId="0" applyFont="1" applyFill="1" applyBorder="1" applyAlignment="1">
      <alignment vertical="center" wrapText="1"/>
    </xf>
    <xf numFmtId="0" fontId="42" fillId="2" borderId="25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43" fillId="4" borderId="49" xfId="0" applyFont="1" applyFill="1" applyBorder="1" applyAlignment="1">
      <alignment horizontal="left" vertical="center" indent="1"/>
    </xf>
    <xf numFmtId="0" fontId="44" fillId="18" borderId="25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9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Border="1" applyAlignment="1" applyProtection="1">
      <alignment horizontal="center" vertical="center"/>
    </xf>
    <xf numFmtId="0" fontId="22" fillId="21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45" fillId="20" borderId="25" xfId="0" applyFont="1" applyFill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2" borderId="35" xfId="0" applyFill="1" applyBorder="1" applyAlignment="1">
      <alignment horizontal="center" vertical="center" wrapText="1"/>
    </xf>
    <xf numFmtId="0" fontId="0" fillId="12" borderId="56" xfId="0" applyFill="1" applyBorder="1" applyAlignment="1">
      <alignment horizontal="center" vertical="center"/>
    </xf>
    <xf numFmtId="0" fontId="0" fillId="17" borderId="56" xfId="0" applyFill="1" applyBorder="1" applyAlignment="1">
      <alignment horizontal="center" vertical="center" wrapText="1"/>
    </xf>
    <xf numFmtId="0" fontId="0" fillId="28" borderId="17" xfId="0" applyFill="1" applyBorder="1"/>
    <xf numFmtId="0" fontId="0" fillId="0" borderId="18" xfId="0" applyBorder="1"/>
    <xf numFmtId="0" fontId="0" fillId="0" borderId="19" xfId="0" applyBorder="1"/>
    <xf numFmtId="0" fontId="34" fillId="23" borderId="0" xfId="0" applyFont="1" applyFill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19" borderId="33" xfId="0" applyFont="1" applyFill="1" applyBorder="1" applyAlignment="1">
      <alignment horizontal="center" vertical="center" wrapText="1"/>
    </xf>
    <xf numFmtId="0" fontId="4" fillId="19" borderId="80" xfId="0" applyFont="1" applyFill="1" applyBorder="1" applyAlignment="1">
      <alignment horizontal="center" vertical="center" wrapText="1"/>
    </xf>
    <xf numFmtId="0" fontId="4" fillId="19" borderId="8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" xfId="0" applyBorder="1"/>
    <xf numFmtId="0" fontId="4" fillId="0" borderId="5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 wrapText="1"/>
    </xf>
    <xf numFmtId="0" fontId="0" fillId="14" borderId="26" xfId="0" applyFill="1" applyBorder="1" applyAlignment="1">
      <alignment horizontal="left" vertical="center"/>
    </xf>
    <xf numFmtId="0" fontId="0" fillId="16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4" fillId="15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15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1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49" fontId="4" fillId="19" borderId="0" xfId="0" applyNumberFormat="1" applyFont="1" applyFill="1" applyAlignment="1">
      <alignment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0" xfId="0" applyFont="1" applyFill="1" applyAlignment="1">
      <alignment vertical="center" wrapText="1"/>
    </xf>
    <xf numFmtId="0" fontId="4" fillId="19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2" fontId="29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9" fillId="4" borderId="68" xfId="0" applyFont="1" applyFill="1" applyBorder="1" applyAlignment="1">
      <alignment horizontal="left" vertical="center" indent="1"/>
    </xf>
    <xf numFmtId="0" fontId="47" fillId="20" borderId="25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14" fontId="0" fillId="0" borderId="0" xfId="0" applyNumberFormat="1"/>
    <xf numFmtId="0" fontId="0" fillId="0" borderId="25" xfId="0" applyBorder="1" applyAlignment="1">
      <alignment horizontal="center" vertical="center" wrapText="1"/>
    </xf>
    <xf numFmtId="0" fontId="2" fillId="0" borderId="25" xfId="0" applyFont="1" applyBorder="1"/>
    <xf numFmtId="0" fontId="49" fillId="0" borderId="0" xfId="0" applyFont="1"/>
    <xf numFmtId="0" fontId="6" fillId="0" borderId="0" xfId="0" applyFont="1"/>
    <xf numFmtId="0" fontId="4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0" fontId="47" fillId="2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15" fillId="2" borderId="0" xfId="1" applyFill="1" applyBorder="1" applyAlignment="1">
      <alignment vertical="center"/>
    </xf>
    <xf numFmtId="0" fontId="0" fillId="16" borderId="75" xfId="0" applyFill="1" applyBorder="1" applyAlignment="1">
      <alignment horizontal="center" vertical="center"/>
    </xf>
    <xf numFmtId="0" fontId="0" fillId="2" borderId="25" xfId="0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29" fillId="18" borderId="25" xfId="0" applyFont="1" applyFill="1" applyBorder="1" applyAlignment="1">
      <alignment horizontal="center" vertical="center"/>
    </xf>
    <xf numFmtId="0" fontId="0" fillId="14" borderId="50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3" fillId="12" borderId="18" xfId="0" applyFont="1" applyFill="1" applyBorder="1" applyAlignment="1">
      <alignment vertical="center"/>
    </xf>
    <xf numFmtId="0" fontId="3" fillId="12" borderId="19" xfId="0" applyFont="1" applyFill="1" applyBorder="1" applyAlignment="1">
      <alignment vertical="center"/>
    </xf>
    <xf numFmtId="0" fontId="3" fillId="12" borderId="17" xfId="0" applyFont="1" applyFill="1" applyBorder="1" applyAlignment="1">
      <alignment horizontal="left" vertical="center" indent="1"/>
    </xf>
    <xf numFmtId="0" fontId="9" fillId="0" borderId="68" xfId="0" applyFont="1" applyBorder="1" applyAlignment="1">
      <alignment horizontal="left" vertical="center" indent="1"/>
    </xf>
    <xf numFmtId="0" fontId="23" fillId="0" borderId="52" xfId="0" applyFont="1" applyBorder="1" applyAlignment="1">
      <alignment vertical="center"/>
    </xf>
    <xf numFmtId="0" fontId="44" fillId="18" borderId="35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0" fillId="0" borderId="52" xfId="0" applyBorder="1"/>
    <xf numFmtId="0" fontId="21" fillId="18" borderId="35" xfId="0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53" fillId="0" borderId="0" xfId="0" applyFont="1"/>
    <xf numFmtId="0" fontId="55" fillId="0" borderId="0" xfId="0" applyFont="1"/>
    <xf numFmtId="0" fontId="56" fillId="0" borderId="53" xfId="0" applyFont="1" applyBorder="1" applyAlignment="1">
      <alignment vertical="center"/>
    </xf>
    <xf numFmtId="0" fontId="56" fillId="0" borderId="53" xfId="0" applyFont="1" applyBorder="1" applyAlignment="1">
      <alignment horizontal="left" vertical="center"/>
    </xf>
    <xf numFmtId="0" fontId="2" fillId="2" borderId="0" xfId="0" applyFont="1" applyFill="1"/>
    <xf numFmtId="0" fontId="2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9" fillId="4" borderId="49" xfId="0" applyFont="1" applyFill="1" applyBorder="1" applyAlignment="1">
      <alignment horizontal="left" vertical="center" wrapText="1" indent="1"/>
    </xf>
    <xf numFmtId="0" fontId="0" fillId="13" borderId="21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7" borderId="57" xfId="0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8" borderId="90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6" borderId="57" xfId="0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13" borderId="57" xfId="0" applyFill="1" applyBorder="1" applyAlignment="1">
      <alignment horizontal="center" vertical="center" wrapText="1"/>
    </xf>
    <xf numFmtId="0" fontId="0" fillId="14" borderId="88" xfId="0" applyFill="1" applyBorder="1" applyAlignment="1">
      <alignment vertical="center"/>
    </xf>
    <xf numFmtId="0" fontId="0" fillId="21" borderId="76" xfId="0" applyFill="1" applyBorder="1" applyAlignment="1">
      <alignment horizontal="center" vertical="center"/>
    </xf>
    <xf numFmtId="0" fontId="57" fillId="18" borderId="29" xfId="0" applyFont="1" applyFill="1" applyBorder="1" applyAlignment="1">
      <alignment vertical="center"/>
    </xf>
    <xf numFmtId="14" fontId="57" fillId="18" borderId="3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0" fillId="8" borderId="98" xfId="0" applyFill="1" applyBorder="1" applyAlignment="1">
      <alignment horizontal="center" vertical="center"/>
    </xf>
    <xf numFmtId="49" fontId="4" fillId="24" borderId="25" xfId="0" applyNumberFormat="1" applyFont="1" applyFill="1" applyBorder="1" applyAlignment="1">
      <alignment horizontal="center" vertical="center"/>
    </xf>
    <xf numFmtId="49" fontId="4" fillId="8" borderId="23" xfId="0" applyNumberFormat="1" applyFont="1" applyFill="1" applyBorder="1" applyAlignment="1">
      <alignment horizontal="center" vertical="center" wrapText="1"/>
    </xf>
    <xf numFmtId="49" fontId="4" fillId="8" borderId="27" xfId="0" applyNumberFormat="1" applyFont="1" applyFill="1" applyBorder="1" applyAlignment="1">
      <alignment horizontal="center" vertical="center" wrapText="1"/>
    </xf>
    <xf numFmtId="49" fontId="4" fillId="8" borderId="23" xfId="0" applyNumberFormat="1" applyFont="1" applyFill="1" applyBorder="1" applyAlignment="1">
      <alignment horizontal="center" vertical="center"/>
    </xf>
    <xf numFmtId="49" fontId="4" fillId="18" borderId="88" xfId="0" applyNumberFormat="1" applyFont="1" applyFill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49" fontId="4" fillId="30" borderId="21" xfId="0" applyNumberFormat="1" applyFont="1" applyFill="1" applyBorder="1" applyAlignment="1">
      <alignment horizontal="center" vertical="center"/>
    </xf>
    <xf numFmtId="49" fontId="4" fillId="8" borderId="90" xfId="0" applyNumberFormat="1" applyFont="1" applyFill="1" applyBorder="1" applyAlignment="1">
      <alignment vertical="center"/>
    </xf>
    <xf numFmtId="49" fontId="61" fillId="12" borderId="29" xfId="0" applyNumberFormat="1" applyFont="1" applyFill="1" applyBorder="1" applyAlignment="1">
      <alignment vertical="center"/>
    </xf>
    <xf numFmtId="14" fontId="63" fillId="12" borderId="38" xfId="0" applyNumberFormat="1" applyFont="1" applyFill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8" borderId="27" xfId="0" applyNumberFormat="1" applyFont="1" applyFill="1" applyBorder="1" applyAlignment="1">
      <alignment horizontal="center" vertical="center"/>
    </xf>
    <xf numFmtId="49" fontId="4" fillId="8" borderId="71" xfId="0" applyNumberFormat="1" applyFont="1" applyFill="1" applyBorder="1" applyAlignment="1">
      <alignment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86" xfId="0" applyNumberFormat="1" applyFont="1" applyBorder="1" applyAlignment="1">
      <alignment horizontal="center" vertical="center"/>
    </xf>
    <xf numFmtId="49" fontId="4" fillId="0" borderId="98" xfId="0" applyNumberFormat="1" applyFont="1" applyBorder="1" applyAlignment="1">
      <alignment horizontal="center" vertical="center"/>
    </xf>
    <xf numFmtId="49" fontId="4" fillId="8" borderId="114" xfId="0" applyNumberFormat="1" applyFont="1" applyFill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8" borderId="71" xfId="0" applyNumberFormat="1" applyFont="1" applyFill="1" applyBorder="1" applyAlignment="1">
      <alignment vertical="center"/>
    </xf>
    <xf numFmtId="0" fontId="0" fillId="16" borderId="21" xfId="0" applyFill="1" applyBorder="1" applyAlignment="1">
      <alignment horizontal="center" vertical="center" wrapText="1"/>
    </xf>
    <xf numFmtId="0" fontId="30" fillId="0" borderId="68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3" fillId="0" borderId="5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47" fillId="20" borderId="35" xfId="0" applyFont="1" applyFill="1" applyBorder="1" applyAlignment="1">
      <alignment horizontal="center" vertical="center"/>
    </xf>
    <xf numFmtId="0" fontId="47" fillId="20" borderId="49" xfId="0" applyFont="1" applyFill="1" applyBorder="1" applyAlignment="1">
      <alignment horizontal="center" vertical="center"/>
    </xf>
    <xf numFmtId="0" fontId="47" fillId="20" borderId="5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left" vertical="center" indent="1"/>
    </xf>
    <xf numFmtId="0" fontId="9" fillId="4" borderId="56" xfId="0" applyFont="1" applyFill="1" applyBorder="1" applyAlignment="1">
      <alignment horizontal="left" vertical="center" indent="1"/>
    </xf>
    <xf numFmtId="0" fontId="13" fillId="0" borderId="51" xfId="0" applyFont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indent="1"/>
    </xf>
    <xf numFmtId="0" fontId="9" fillId="4" borderId="50" xfId="0" applyFont="1" applyFill="1" applyBorder="1" applyAlignment="1">
      <alignment horizontal="left" vertical="center" indent="1"/>
    </xf>
    <xf numFmtId="1" fontId="30" fillId="0" borderId="35" xfId="0" applyNumberFormat="1" applyFont="1" applyBorder="1" applyAlignment="1">
      <alignment horizontal="center" vertical="center" wrapText="1"/>
    </xf>
    <xf numFmtId="1" fontId="30" fillId="0" borderId="5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9" fillId="4" borderId="69" xfId="0" applyFont="1" applyFill="1" applyBorder="1" applyAlignment="1">
      <alignment horizontal="left" vertical="center" indent="1"/>
    </xf>
    <xf numFmtId="0" fontId="9" fillId="4" borderId="39" xfId="0" applyFont="1" applyFill="1" applyBorder="1" applyAlignment="1">
      <alignment horizontal="left" vertical="center" indent="1"/>
    </xf>
    <xf numFmtId="0" fontId="9" fillId="4" borderId="25" xfId="0" applyFont="1" applyFill="1" applyBorder="1" applyAlignment="1">
      <alignment horizontal="left" vertical="center" indent="1"/>
    </xf>
    <xf numFmtId="0" fontId="30" fillId="20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0" borderId="25" xfId="0" applyFont="1" applyFill="1" applyBorder="1" applyAlignment="1">
      <alignment horizontal="center"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2" fillId="21" borderId="35" xfId="0" applyFont="1" applyFill="1" applyBorder="1" applyAlignment="1">
      <alignment horizontal="left" vertical="center" wrapText="1" indent="1"/>
    </xf>
    <xf numFmtId="0" fontId="22" fillId="21" borderId="50" xfId="0" applyFont="1" applyFill="1" applyBorder="1" applyAlignment="1">
      <alignment horizontal="left" vertical="center" wrapText="1" indent="1"/>
    </xf>
    <xf numFmtId="0" fontId="22" fillId="21" borderId="35" xfId="0" applyFont="1" applyFill="1" applyBorder="1" applyAlignment="1">
      <alignment horizontal="center" vertical="center"/>
    </xf>
    <xf numFmtId="0" fontId="22" fillId="21" borderId="49" xfId="0" applyFont="1" applyFill="1" applyBorder="1" applyAlignment="1">
      <alignment horizontal="center" vertical="center"/>
    </xf>
    <xf numFmtId="0" fontId="22" fillId="21" borderId="50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left" vertical="center"/>
    </xf>
    <xf numFmtId="0" fontId="0" fillId="18" borderId="0" xfId="0" applyFill="1" applyAlignment="1">
      <alignment horizontal="center"/>
    </xf>
    <xf numFmtId="0" fontId="3" fillId="12" borderId="17" xfId="0" applyFont="1" applyFill="1" applyBorder="1" applyAlignment="1">
      <alignment horizontal="left" vertical="center" wrapText="1" indent="1"/>
    </xf>
    <xf numFmtId="0" fontId="3" fillId="12" borderId="18" xfId="0" applyFont="1" applyFill="1" applyBorder="1" applyAlignment="1">
      <alignment horizontal="left" vertical="center" wrapText="1" indent="1"/>
    </xf>
    <xf numFmtId="0" fontId="3" fillId="12" borderId="19" xfId="0" applyFont="1" applyFill="1" applyBorder="1" applyAlignment="1">
      <alignment horizontal="left" vertical="center" wrapText="1" indent="1"/>
    </xf>
    <xf numFmtId="0" fontId="3" fillId="12" borderId="17" xfId="0" applyFont="1" applyFill="1" applyBorder="1" applyAlignment="1">
      <alignment horizontal="left" vertical="center" indent="1"/>
    </xf>
    <xf numFmtId="0" fontId="3" fillId="12" borderId="18" xfId="0" applyFont="1" applyFill="1" applyBorder="1" applyAlignment="1">
      <alignment horizontal="left" vertical="center" indent="1"/>
    </xf>
    <xf numFmtId="0" fontId="3" fillId="12" borderId="19" xfId="0" applyFont="1" applyFill="1" applyBorder="1" applyAlignment="1">
      <alignment horizontal="left" vertical="center" indent="1"/>
    </xf>
    <xf numFmtId="0" fontId="3" fillId="20" borderId="17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9" borderId="47" xfId="0" applyFont="1" applyFill="1" applyBorder="1" applyAlignment="1">
      <alignment horizontal="center" vertical="center" wrapText="1"/>
    </xf>
    <xf numFmtId="0" fontId="4" fillId="19" borderId="48" xfId="0" applyFont="1" applyFill="1" applyBorder="1" applyAlignment="1">
      <alignment horizontal="center" vertical="center" wrapText="1"/>
    </xf>
    <xf numFmtId="0" fontId="4" fillId="15" borderId="84" xfId="0" applyFont="1" applyFill="1" applyBorder="1" applyAlignment="1">
      <alignment horizontal="center" vertical="center"/>
    </xf>
    <xf numFmtId="0" fontId="4" fillId="19" borderId="80" xfId="0" applyFont="1" applyFill="1" applyBorder="1" applyAlignment="1">
      <alignment horizontal="center" vertical="center" wrapText="1"/>
    </xf>
    <xf numFmtId="0" fontId="4" fillId="19" borderId="81" xfId="0" applyFont="1" applyFill="1" applyBorder="1" applyAlignment="1">
      <alignment horizontal="center" vertical="center" wrapText="1"/>
    </xf>
    <xf numFmtId="0" fontId="4" fillId="19" borderId="35" xfId="0" applyFont="1" applyFill="1" applyBorder="1" applyAlignment="1">
      <alignment horizontal="center" vertical="center" wrapText="1"/>
    </xf>
    <xf numFmtId="0" fontId="4" fillId="19" borderId="78" xfId="0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0" xfId="0" applyFont="1" applyFill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7" borderId="17" xfId="0" applyFont="1" applyFill="1" applyBorder="1" applyAlignment="1">
      <alignment horizontal="center" vertical="center"/>
    </xf>
    <xf numFmtId="0" fontId="9" fillId="27" borderId="18" xfId="0" applyFont="1" applyFill="1" applyBorder="1" applyAlignment="1">
      <alignment horizontal="center" vertical="center"/>
    </xf>
    <xf numFmtId="0" fontId="9" fillId="27" borderId="19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/>
    <xf numFmtId="0" fontId="0" fillId="0" borderId="34" xfId="0" applyBorder="1"/>
    <xf numFmtId="0" fontId="0" fillId="6" borderId="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14" borderId="88" xfId="0" applyFill="1" applyBorder="1" applyAlignment="1">
      <alignment horizontal="center" vertical="center"/>
    </xf>
    <xf numFmtId="0" fontId="0" fillId="14" borderId="89" xfId="0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14" borderId="94" xfId="0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16" borderId="5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74" xfId="0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4" borderId="90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25" borderId="57" xfId="0" applyFill="1" applyBorder="1" applyAlignment="1">
      <alignment horizontal="center" vertical="center"/>
    </xf>
    <xf numFmtId="0" fontId="0" fillId="25" borderId="26" xfId="0" applyFill="1" applyBorder="1" applyAlignment="1">
      <alignment horizontal="center" vertical="center"/>
    </xf>
    <xf numFmtId="0" fontId="0" fillId="25" borderId="74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57" fillId="18" borderId="21" xfId="0" applyFont="1" applyFill="1" applyBorder="1" applyAlignment="1">
      <alignment horizontal="center" vertical="center"/>
    </xf>
    <xf numFmtId="0" fontId="58" fillId="18" borderId="42" xfId="0" applyFont="1" applyFill="1" applyBorder="1" applyAlignment="1">
      <alignment horizontal="center" vertical="center" wrapText="1"/>
    </xf>
    <xf numFmtId="0" fontId="58" fillId="18" borderId="25" xfId="0" applyFont="1" applyFill="1" applyBorder="1" applyAlignment="1">
      <alignment horizontal="center" vertical="center" wrapText="1"/>
    </xf>
    <xf numFmtId="0" fontId="58" fillId="18" borderId="40" xfId="0" applyFont="1" applyFill="1" applyBorder="1" applyAlignment="1">
      <alignment horizontal="center" vertical="center" wrapText="1"/>
    </xf>
    <xf numFmtId="0" fontId="13" fillId="18" borderId="30" xfId="1" applyFont="1" applyFill="1" applyBorder="1" applyAlignment="1">
      <alignment horizontal="center" vertical="top"/>
    </xf>
    <xf numFmtId="0" fontId="13" fillId="18" borderId="23" xfId="1" applyFont="1" applyFill="1" applyBorder="1" applyAlignment="1">
      <alignment horizontal="center" vertical="top"/>
    </xf>
    <xf numFmtId="0" fontId="13" fillId="18" borderId="82" xfId="1" applyFont="1" applyFill="1" applyBorder="1" applyAlignment="1">
      <alignment horizontal="center" vertical="top"/>
    </xf>
    <xf numFmtId="0" fontId="13" fillId="0" borderId="7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0" fillId="12" borderId="58" xfId="0" applyFill="1" applyBorder="1" applyAlignment="1">
      <alignment horizontal="center" vertical="center" wrapText="1"/>
    </xf>
    <xf numFmtId="0" fontId="0" fillId="12" borderId="93" xfId="0" applyFill="1" applyBorder="1" applyAlignment="1">
      <alignment horizontal="center" vertical="center" wrapText="1"/>
    </xf>
    <xf numFmtId="0" fontId="0" fillId="18" borderId="95" xfId="0" applyFill="1" applyBorder="1" applyAlignment="1">
      <alignment horizontal="center" vertical="center"/>
    </xf>
    <xf numFmtId="0" fontId="0" fillId="18" borderId="96" xfId="0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0" fillId="14" borderId="70" xfId="0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0" fontId="0" fillId="16" borderId="57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1" fillId="20" borderId="17" xfId="0" applyFont="1" applyFill="1" applyBorder="1" applyAlignment="1">
      <alignment horizontal="center" vertical="center" wrapText="1"/>
    </xf>
    <xf numFmtId="0" fontId="31" fillId="20" borderId="18" xfId="0" applyFont="1" applyFill="1" applyBorder="1" applyAlignment="1">
      <alignment horizontal="center" vertical="center" wrapText="1"/>
    </xf>
    <xf numFmtId="0" fontId="31" fillId="20" borderId="19" xfId="0" applyFont="1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91" xfId="0" applyFill="1" applyBorder="1" applyAlignment="1">
      <alignment horizontal="center" vertical="center"/>
    </xf>
    <xf numFmtId="0" fontId="0" fillId="8" borderId="92" xfId="0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0" fillId="14" borderId="71" xfId="0" applyFill="1" applyBorder="1" applyAlignment="1">
      <alignment horizontal="center" vertical="center"/>
    </xf>
    <xf numFmtId="49" fontId="63" fillId="12" borderId="111" xfId="0" applyNumberFormat="1" applyFont="1" applyFill="1" applyBorder="1" applyAlignment="1">
      <alignment horizontal="center" vertical="center"/>
    </xf>
    <xf numFmtId="49" fontId="63" fillId="12" borderId="99" xfId="0" applyNumberFormat="1" applyFont="1" applyFill="1" applyBorder="1" applyAlignment="1">
      <alignment horizontal="center" vertical="center"/>
    </xf>
    <xf numFmtId="49" fontId="63" fillId="12" borderId="100" xfId="0" applyNumberFormat="1" applyFont="1" applyFill="1" applyBorder="1" applyAlignment="1">
      <alignment horizontal="center" vertical="center"/>
    </xf>
    <xf numFmtId="49" fontId="64" fillId="0" borderId="29" xfId="0" applyNumberFormat="1" applyFont="1" applyBorder="1" applyAlignment="1">
      <alignment horizontal="center" vertical="center"/>
    </xf>
    <xf numFmtId="49" fontId="64" fillId="0" borderId="24" xfId="0" applyNumberFormat="1" applyFont="1" applyBorder="1" applyAlignment="1">
      <alignment horizontal="center" vertical="center"/>
    </xf>
    <xf numFmtId="49" fontId="64" fillId="0" borderId="79" xfId="0" applyNumberFormat="1" applyFont="1" applyBorder="1" applyAlignment="1">
      <alignment horizontal="center" vertical="center"/>
    </xf>
    <xf numFmtId="49" fontId="4" fillId="18" borderId="34" xfId="0" applyNumberFormat="1" applyFont="1" applyFill="1" applyBorder="1" applyAlignment="1">
      <alignment horizontal="center" vertical="center" wrapText="1"/>
    </xf>
    <xf numFmtId="49" fontId="4" fillId="18" borderId="37" xfId="0" applyNumberFormat="1" applyFont="1" applyFill="1" applyBorder="1" applyAlignment="1">
      <alignment horizontal="center" vertical="center" wrapText="1"/>
    </xf>
    <xf numFmtId="49" fontId="4" fillId="18" borderId="110" xfId="0" applyNumberFormat="1" applyFont="1" applyFill="1" applyBorder="1" applyAlignment="1">
      <alignment horizontal="center" vertical="center" wrapText="1"/>
    </xf>
    <xf numFmtId="49" fontId="4" fillId="18" borderId="101" xfId="0" applyNumberFormat="1" applyFont="1" applyFill="1" applyBorder="1" applyAlignment="1">
      <alignment horizontal="center" vertical="center" wrapText="1"/>
    </xf>
    <xf numFmtId="49" fontId="64" fillId="0" borderId="30" xfId="0" applyNumberFormat="1" applyFont="1" applyBorder="1" applyAlignment="1">
      <alignment horizontal="center" vertical="center"/>
    </xf>
    <xf numFmtId="49" fontId="4" fillId="8" borderId="32" xfId="0" applyNumberFormat="1" applyFont="1" applyFill="1" applyBorder="1" applyAlignment="1">
      <alignment horizontal="center" vertical="center" wrapText="1"/>
    </xf>
    <xf numFmtId="49" fontId="4" fillId="8" borderId="92" xfId="0" applyNumberFormat="1" applyFont="1" applyFill="1" applyBorder="1" applyAlignment="1">
      <alignment horizontal="center" vertical="center" wrapText="1"/>
    </xf>
    <xf numFmtId="49" fontId="4" fillId="18" borderId="41" xfId="0" applyNumberFormat="1" applyFont="1" applyFill="1" applyBorder="1" applyAlignment="1">
      <alignment horizontal="center" vertical="center"/>
    </xf>
    <xf numFmtId="49" fontId="4" fillId="18" borderId="79" xfId="0" applyNumberFormat="1" applyFont="1" applyFill="1" applyBorder="1" applyAlignment="1">
      <alignment horizontal="center" vertical="center"/>
    </xf>
    <xf numFmtId="49" fontId="4" fillId="29" borderId="26" xfId="0" applyNumberFormat="1" applyFont="1" applyFill="1" applyBorder="1" applyAlignment="1">
      <alignment horizontal="center" vertical="center" wrapText="1"/>
    </xf>
    <xf numFmtId="49" fontId="4" fillId="29" borderId="74" xfId="0" applyNumberFormat="1" applyFont="1" applyFill="1" applyBorder="1" applyAlignment="1">
      <alignment horizontal="center" vertical="center" wrapText="1"/>
    </xf>
    <xf numFmtId="0" fontId="0" fillId="16" borderId="26" xfId="0" applyFill="1" applyBorder="1" applyAlignment="1">
      <alignment horizontal="center" vertical="center" wrapText="1"/>
    </xf>
    <xf numFmtId="0" fontId="0" fillId="16" borderId="74" xfId="0" applyFill="1" applyBorder="1" applyAlignment="1">
      <alignment horizontal="center" vertical="center" wrapText="1"/>
    </xf>
    <xf numFmtId="49" fontId="4" fillId="24" borderId="33" xfId="0" applyNumberFormat="1" applyFont="1" applyFill="1" applyBorder="1" applyAlignment="1">
      <alignment horizontal="center" vertical="center" wrapText="1"/>
    </xf>
    <xf numFmtId="49" fontId="4" fillId="24" borderId="87" xfId="0" applyNumberFormat="1" applyFont="1" applyFill="1" applyBorder="1" applyAlignment="1">
      <alignment horizontal="center" vertical="center" wrapText="1"/>
    </xf>
    <xf numFmtId="49" fontId="4" fillId="24" borderId="110" xfId="0" applyNumberFormat="1" applyFont="1" applyFill="1" applyBorder="1" applyAlignment="1">
      <alignment horizontal="center" vertical="center" wrapText="1"/>
    </xf>
    <xf numFmtId="49" fontId="4" fillId="24" borderId="101" xfId="0" applyNumberFormat="1" applyFont="1" applyFill="1" applyBorder="1" applyAlignment="1">
      <alignment horizontal="center" vertical="center" wrapText="1"/>
    </xf>
    <xf numFmtId="49" fontId="4" fillId="8" borderId="104" xfId="0" applyNumberFormat="1" applyFont="1" applyFill="1" applyBorder="1" applyAlignment="1">
      <alignment horizontal="center" vertical="center"/>
    </xf>
    <xf numFmtId="49" fontId="4" fillId="8" borderId="68" xfId="0" applyNumberFormat="1" applyFont="1" applyFill="1" applyBorder="1" applyAlignment="1">
      <alignment horizontal="center" vertical="center"/>
    </xf>
    <xf numFmtId="49" fontId="4" fillId="8" borderId="69" xfId="0" applyNumberFormat="1" applyFont="1" applyFill="1" applyBorder="1" applyAlignment="1">
      <alignment horizontal="center" vertical="center"/>
    </xf>
    <xf numFmtId="49" fontId="4" fillId="8" borderId="35" xfId="0" applyNumberFormat="1" applyFont="1" applyFill="1" applyBorder="1" applyAlignment="1">
      <alignment horizontal="center" vertical="center"/>
    </xf>
    <xf numFmtId="49" fontId="4" fillId="8" borderId="49" xfId="0" applyNumberFormat="1" applyFont="1" applyFill="1" applyBorder="1" applyAlignment="1">
      <alignment horizontal="center" vertical="center"/>
    </xf>
    <xf numFmtId="49" fontId="4" fillId="8" borderId="50" xfId="0" applyNumberFormat="1" applyFont="1" applyFill="1" applyBorder="1" applyAlignment="1">
      <alignment horizontal="center" vertical="center"/>
    </xf>
    <xf numFmtId="49" fontId="62" fillId="20" borderId="42" xfId="0" applyNumberFormat="1" applyFont="1" applyFill="1" applyBorder="1" applyAlignment="1">
      <alignment horizontal="center" vertical="center" wrapText="1"/>
    </xf>
    <xf numFmtId="49" fontId="62" fillId="20" borderId="25" xfId="0" applyNumberFormat="1" applyFont="1" applyFill="1" applyBorder="1" applyAlignment="1">
      <alignment horizontal="center" vertical="center" wrapText="1"/>
    </xf>
    <xf numFmtId="49" fontId="62" fillId="20" borderId="40" xfId="0" applyNumberFormat="1" applyFont="1" applyFill="1" applyBorder="1" applyAlignment="1">
      <alignment horizontal="center" vertical="center" wrapText="1"/>
    </xf>
    <xf numFmtId="49" fontId="13" fillId="18" borderId="30" xfId="1" applyNumberFormat="1" applyFont="1" applyFill="1" applyBorder="1" applyAlignment="1">
      <alignment horizontal="center" vertical="top"/>
    </xf>
    <xf numFmtId="49" fontId="13" fillId="18" borderId="23" xfId="1" applyNumberFormat="1" applyFont="1" applyFill="1" applyBorder="1" applyAlignment="1">
      <alignment horizontal="center" vertical="top"/>
    </xf>
    <xf numFmtId="49" fontId="13" fillId="18" borderId="82" xfId="1" applyNumberFormat="1" applyFont="1" applyFill="1" applyBorder="1" applyAlignment="1">
      <alignment horizontal="center" vertical="top"/>
    </xf>
    <xf numFmtId="49" fontId="4" fillId="18" borderId="88" xfId="0" applyNumberFormat="1" applyFont="1" applyFill="1" applyBorder="1" applyAlignment="1">
      <alignment horizontal="center" vertical="center"/>
    </xf>
    <xf numFmtId="49" fontId="4" fillId="18" borderId="72" xfId="0" applyNumberFormat="1" applyFont="1" applyFill="1" applyBorder="1" applyAlignment="1">
      <alignment horizontal="center" vertical="center"/>
    </xf>
    <xf numFmtId="49" fontId="4" fillId="18" borderId="71" xfId="0" applyNumberFormat="1" applyFont="1" applyFill="1" applyBorder="1" applyAlignment="1">
      <alignment horizontal="center" vertical="center"/>
    </xf>
    <xf numFmtId="49" fontId="4" fillId="24" borderId="25" xfId="0" applyNumberFormat="1" applyFont="1" applyFill="1" applyBorder="1" applyAlignment="1">
      <alignment horizontal="center" vertical="center"/>
    </xf>
    <xf numFmtId="49" fontId="4" fillId="24" borderId="21" xfId="0" applyNumberFormat="1" applyFont="1" applyFill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/>
    </xf>
    <xf numFmtId="49" fontId="13" fillId="0" borderId="28" xfId="0" applyNumberFormat="1" applyFont="1" applyBorder="1" applyAlignment="1">
      <alignment horizontal="center"/>
    </xf>
    <xf numFmtId="49" fontId="13" fillId="0" borderId="82" xfId="0" applyNumberFormat="1" applyFont="1" applyBorder="1" applyAlignment="1">
      <alignment horizontal="center"/>
    </xf>
    <xf numFmtId="49" fontId="4" fillId="18" borderId="112" xfId="0" applyNumberFormat="1" applyFont="1" applyFill="1" applyBorder="1" applyAlignment="1">
      <alignment horizontal="center" vertical="center"/>
    </xf>
    <xf numFmtId="49" fontId="4" fillId="18" borderId="113" xfId="0" applyNumberFormat="1" applyFont="1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 wrapText="1"/>
    </xf>
    <xf numFmtId="0" fontId="0" fillId="16" borderId="52" xfId="0" applyFill="1" applyBorder="1" applyAlignment="1">
      <alignment horizontal="center" vertical="center" wrapText="1"/>
    </xf>
    <xf numFmtId="49" fontId="4" fillId="24" borderId="13" xfId="0" applyNumberFormat="1" applyFont="1" applyFill="1" applyBorder="1" applyAlignment="1">
      <alignment horizontal="center" vertical="center"/>
    </xf>
    <xf numFmtId="49" fontId="4" fillId="24" borderId="37" xfId="0" applyNumberFormat="1" applyFont="1" applyFill="1" applyBorder="1" applyAlignment="1">
      <alignment horizontal="center" vertical="center"/>
    </xf>
    <xf numFmtId="49" fontId="4" fillId="24" borderId="52" xfId="0" applyNumberFormat="1" applyFont="1" applyFill="1" applyBorder="1" applyAlignment="1">
      <alignment horizontal="center" vertical="center"/>
    </xf>
    <xf numFmtId="49" fontId="4" fillId="24" borderId="39" xfId="0" applyNumberFormat="1" applyFont="1" applyFill="1" applyBorder="1" applyAlignment="1">
      <alignment horizontal="center" vertical="center"/>
    </xf>
    <xf numFmtId="49" fontId="4" fillId="18" borderId="90" xfId="0" applyNumberFormat="1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 wrapText="1"/>
    </xf>
    <xf numFmtId="49" fontId="4" fillId="18" borderId="89" xfId="0" applyNumberFormat="1" applyFont="1" applyFill="1" applyBorder="1" applyAlignment="1">
      <alignment horizontal="center" vertical="center" wrapText="1"/>
    </xf>
    <xf numFmtId="49" fontId="13" fillId="0" borderId="85" xfId="0" applyNumberFormat="1" applyFont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105" xfId="0" applyNumberFormat="1" applyFont="1" applyBorder="1" applyAlignment="1">
      <alignment horizontal="center" vertical="center"/>
    </xf>
    <xf numFmtId="49" fontId="4" fillId="8" borderId="23" xfId="0" applyNumberFormat="1" applyFont="1" applyFill="1" applyBorder="1" applyAlignment="1">
      <alignment horizontal="center" vertical="center" wrapText="1"/>
    </xf>
    <xf numFmtId="49" fontId="4" fillId="24" borderId="25" xfId="0" applyNumberFormat="1" applyFont="1" applyFill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82" xfId="0" applyNumberFormat="1" applyFont="1" applyBorder="1" applyAlignment="1">
      <alignment horizontal="center" vertical="center"/>
    </xf>
    <xf numFmtId="49" fontId="4" fillId="18" borderId="106" xfId="0" applyNumberFormat="1" applyFont="1" applyFill="1" applyBorder="1" applyAlignment="1">
      <alignment horizontal="center" vertical="center"/>
    </xf>
    <xf numFmtId="49" fontId="4" fillId="18" borderId="107" xfId="0" applyNumberFormat="1" applyFont="1" applyFill="1" applyBorder="1" applyAlignment="1">
      <alignment horizontal="center" vertical="center"/>
    </xf>
    <xf numFmtId="49" fontId="4" fillId="18" borderId="108" xfId="0" applyNumberFormat="1" applyFont="1" applyFill="1" applyBorder="1" applyAlignment="1">
      <alignment horizontal="center" vertical="center"/>
    </xf>
    <xf numFmtId="49" fontId="4" fillId="18" borderId="103" xfId="0" applyNumberFormat="1" applyFont="1" applyFill="1" applyBorder="1" applyAlignment="1">
      <alignment horizontal="center" vertical="center"/>
    </xf>
    <xf numFmtId="49" fontId="4" fillId="18" borderId="109" xfId="0" applyNumberFormat="1" applyFont="1" applyFill="1" applyBorder="1" applyAlignment="1">
      <alignment horizontal="center" vertical="center"/>
    </xf>
    <xf numFmtId="49" fontId="4" fillId="18" borderId="102" xfId="0" applyNumberFormat="1" applyFont="1" applyFill="1" applyBorder="1" applyAlignment="1">
      <alignment horizontal="center" vertical="center"/>
    </xf>
    <xf numFmtId="49" fontId="0" fillId="18" borderId="85" xfId="0" applyNumberFormat="1" applyFill="1" applyBorder="1" applyAlignment="1">
      <alignment horizontal="center" vertical="center"/>
    </xf>
    <xf numFmtId="49" fontId="0" fillId="18" borderId="105" xfId="0" applyNumberFormat="1" applyFill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/>
    </xf>
    <xf numFmtId="49" fontId="60" fillId="20" borderId="22" xfId="0" applyNumberFormat="1" applyFont="1" applyFill="1" applyBorder="1" applyAlignment="1">
      <alignment horizontal="center" vertical="center" wrapText="1"/>
    </xf>
    <xf numFmtId="49" fontId="60" fillId="20" borderId="74" xfId="0" applyNumberFormat="1" applyFont="1" applyFill="1" applyBorder="1" applyAlignment="1">
      <alignment horizontal="center" vertical="center" wrapText="1"/>
    </xf>
    <xf numFmtId="49" fontId="60" fillId="20" borderId="77" xfId="0" applyNumberFormat="1" applyFont="1" applyFill="1" applyBorder="1" applyAlignment="1">
      <alignment horizontal="center" vertical="center" wrapText="1"/>
    </xf>
    <xf numFmtId="49" fontId="4" fillId="8" borderId="25" xfId="0" applyNumberFormat="1" applyFont="1" applyFill="1" applyBorder="1" applyAlignment="1">
      <alignment horizontal="center" vertical="center"/>
    </xf>
    <xf numFmtId="49" fontId="64" fillId="0" borderId="42" xfId="0" applyNumberFormat="1" applyFont="1" applyBorder="1" applyAlignment="1">
      <alignment horizontal="center" vertical="center"/>
    </xf>
    <xf numFmtId="49" fontId="64" fillId="0" borderId="41" xfId="0" applyNumberFormat="1" applyFont="1" applyBorder="1" applyAlignment="1">
      <alignment horizontal="center" vertical="center"/>
    </xf>
    <xf numFmtId="49" fontId="4" fillId="8" borderId="27" xfId="0" applyNumberFormat="1" applyFont="1" applyFill="1" applyBorder="1" applyAlignment="1">
      <alignment horizontal="center" vertical="center" wrapText="1"/>
    </xf>
    <xf numFmtId="49" fontId="4" fillId="8" borderId="2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7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ill>
        <patternFill>
          <bgColor rgb="FF92D050"/>
        </patternFill>
      </fill>
    </dxf>
    <dxf>
      <fill>
        <patternFill>
          <bgColor rgb="FFECEC7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ECEC7C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ECEC7C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 style="thin">
          <color auto="1"/>
        </top>
        <bottom/>
      </border>
    </dxf>
    <dxf>
      <font>
        <color rgb="FFC0000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numFmt numFmtId="165" formatCode="[$-F400]h:mm:ss\ AM/PM"/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495151"/>
      <color rgb="FF272440"/>
      <color rgb="FF233B5B"/>
      <color rgb="FF071625"/>
      <color rgb="FFFF5B5B"/>
      <color rgb="FFFF3B3B"/>
      <color rgb="FF848484"/>
      <color rgb="FFECEC7C"/>
      <color rgb="FFB6DF89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6.wdp"/><Relationship Id="rId3" Type="http://schemas.openxmlformats.org/officeDocument/2006/relationships/image" Target="../media/image4.emf"/><Relationship Id="rId7" Type="http://schemas.microsoft.com/office/2007/relationships/hdphoto" Target="../media/hdphoto3.wdp"/><Relationship Id="rId12" Type="http://schemas.openxmlformats.org/officeDocument/2006/relationships/image" Target="../media/image9.png"/><Relationship Id="rId2" Type="http://schemas.microsoft.com/office/2007/relationships/hdphoto" Target="../media/hdphoto1.wdp"/><Relationship Id="rId16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microsoft.com/office/2007/relationships/hdphoto" Target="../media/hdphoto7.wdp"/><Relationship Id="rId10" Type="http://schemas.openxmlformats.org/officeDocument/2006/relationships/image" Target="../media/image8.png"/><Relationship Id="rId4" Type="http://schemas.openxmlformats.org/officeDocument/2006/relationships/image" Target="../media/image5.png"/><Relationship Id="rId9" Type="http://schemas.microsoft.com/office/2007/relationships/hdphoto" Target="../media/hdphoto4.wdp"/><Relationship Id="rId1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2.png"/><Relationship Id="rId7" Type="http://schemas.openxmlformats.org/officeDocument/2006/relationships/image" Target="../media/image14.png"/><Relationship Id="rId12" Type="http://schemas.openxmlformats.org/officeDocument/2006/relationships/image" Target="../media/image2.png"/><Relationship Id="rId2" Type="http://schemas.openxmlformats.org/officeDocument/2006/relationships/image" Target="../media/image4.emf"/><Relationship Id="rId1" Type="http://schemas.openxmlformats.org/officeDocument/2006/relationships/image" Target="../media/image11.png"/><Relationship Id="rId6" Type="http://schemas.microsoft.com/office/2007/relationships/hdphoto" Target="../media/hdphoto3.wdp"/><Relationship Id="rId11" Type="http://schemas.microsoft.com/office/2007/relationships/hdphoto" Target="../media/hdphoto7.wdp"/><Relationship Id="rId5" Type="http://schemas.openxmlformats.org/officeDocument/2006/relationships/image" Target="../media/image13.png"/><Relationship Id="rId10" Type="http://schemas.openxmlformats.org/officeDocument/2006/relationships/image" Target="../media/image17.png"/><Relationship Id="rId4" Type="http://schemas.microsoft.com/office/2007/relationships/hdphoto" Target="../media/hdphoto2.wdp"/><Relationship Id="rId9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4.emf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microsoft.com/office/2007/relationships/hdphoto" Target="../media/hdphoto2.wdp"/><Relationship Id="rId10" Type="http://schemas.openxmlformats.org/officeDocument/2006/relationships/image" Target="../media/image2.png"/><Relationship Id="rId4" Type="http://schemas.openxmlformats.org/officeDocument/2006/relationships/image" Target="../media/image5.png"/><Relationship Id="rId9" Type="http://schemas.microsoft.com/office/2007/relationships/hdphoto" Target="../media/hdphoto4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2.png"/><Relationship Id="rId2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10.wdp"/><Relationship Id="rId5" Type="http://schemas.openxmlformats.org/officeDocument/2006/relationships/image" Target="../media/image20.png"/><Relationship Id="rId4" Type="http://schemas.microsoft.com/office/2007/relationships/hdphoto" Target="../media/hdphoto9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6350</xdr:rowOff>
    </xdr:from>
    <xdr:to>
      <xdr:col>1</xdr:col>
      <xdr:colOff>159822</xdr:colOff>
      <xdr:row>16</xdr:row>
      <xdr:rowOff>38101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8835EF6-0A73-44A6-A369-CB8AAA505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</a:blip>
        <a:srcRect l="49177" r="544" b="-225"/>
        <a:stretch/>
      </xdr:blipFill>
      <xdr:spPr>
        <a:xfrm>
          <a:off x="0" y="1225550"/>
          <a:ext cx="2156897" cy="4117976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50574</xdr:colOff>
      <xdr:row>0</xdr:row>
      <xdr:rowOff>608971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F1711C-4950-42E1-8FC1-4AB3741AD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" y="292099"/>
          <a:ext cx="1800000" cy="316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158751</xdr:colOff>
      <xdr:row>20</xdr:row>
      <xdr:rowOff>69849</xdr:rowOff>
    </xdr:from>
    <xdr:to>
      <xdr:col>4</xdr:col>
      <xdr:colOff>1425575</xdr:colOff>
      <xdr:row>20</xdr:row>
      <xdr:rowOff>1201119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CE0AE6-1D50-4CC8-8376-DD0BC22E2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381" b="97024" l="4730" r="89865">
                      <a14:foregroundMark x1="82432" y1="70833" x2="74324" y2="36905"/>
                      <a14:foregroundMark x1="74324" y1="36905" x2="36486" y2="31548"/>
                      <a14:foregroundMark x1="36486" y1="31548" x2="12838" y2="59524"/>
                      <a14:foregroundMark x1="12838" y1="59524" x2="27703" y2="89286"/>
                      <a14:foregroundMark x1="27703" y1="89286" x2="66216" y2="91071"/>
                      <a14:foregroundMark x1="66216" y1="91071" x2="81757" y2="71429"/>
                      <a14:foregroundMark x1="83108" y1="55952" x2="81757" y2="52381"/>
                      <a14:foregroundMark x1="76351" y1="41667" x2="76351" y2="41667"/>
                      <a14:foregroundMark x1="79054" y1="42262" x2="79054" y2="42262"/>
                      <a14:foregroundMark x1="61486" y1="33333" x2="61486" y2="33333"/>
                      <a14:foregroundMark x1="64865" y1="32143" x2="64865" y2="32143"/>
                      <a14:foregroundMark x1="48649" y1="32143" x2="48649" y2="32143"/>
                      <a14:foregroundMark x1="47973" y1="28571" x2="47973" y2="28571"/>
                      <a14:foregroundMark x1="45270" y1="29167" x2="45270" y2="29167"/>
                      <a14:foregroundMark x1="32432" y1="33929" x2="32432" y2="33929"/>
                      <a14:foregroundMark x1="22297" y1="42262" x2="22297" y2="42262"/>
                      <a14:foregroundMark x1="22297" y1="38690" x2="22297" y2="38690"/>
                      <a14:foregroundMark x1="20946" y1="38690" x2="19595" y2="42262"/>
                      <a14:foregroundMark x1="12838" y1="50000" x2="12838" y2="50000"/>
                      <a14:foregroundMark x1="12162" y1="51786" x2="12162" y2="51786"/>
                      <a14:foregroundMark x1="10811" y1="48214" x2="10811" y2="48214"/>
                      <a14:foregroundMark x1="8108" y1="64286" x2="8108" y2="64286"/>
                      <a14:foregroundMark x1="7432" y1="61310" x2="7432" y2="61310"/>
                      <a14:foregroundMark x1="8784" y1="61310" x2="8784" y2="61310"/>
                      <a14:foregroundMark x1="6081" y1="60714" x2="6081" y2="60714"/>
                      <a14:foregroundMark x1="85811" y1="50000" x2="85811" y2="50000"/>
                      <a14:foregroundMark x1="85811" y1="52381" x2="85811" y2="52381"/>
                      <a14:foregroundMark x1="86486" y1="61905" x2="86486" y2="61905"/>
                      <a14:foregroundMark x1="89189" y1="63690" x2="89189" y2="63690"/>
                      <a14:foregroundMark x1="88514" y1="60714" x2="88514" y2="60714"/>
                      <a14:foregroundMark x1="88514" y1="66667" x2="88514" y2="66667"/>
                      <a14:foregroundMark x1="81757" y1="75000" x2="81757" y2="75000"/>
                      <a14:foregroundMark x1="83784" y1="73214" x2="83784" y2="73214"/>
                      <a14:foregroundMark x1="85135" y1="76190" x2="85135" y2="76190"/>
                      <a14:foregroundMark x1="87838" y1="73214" x2="87838" y2="73214"/>
                      <a14:foregroundMark x1="77703" y1="88095" x2="77703" y2="88095"/>
                      <a14:foregroundMark x1="72297" y1="89286" x2="72297" y2="89286"/>
                      <a14:foregroundMark x1="79054" y1="88095" x2="79054" y2="88095"/>
                      <a14:foregroundMark x1="62838" y1="92857" x2="62838" y2="92857"/>
                      <a14:foregroundMark x1="48649" y1="95238" x2="48649" y2="95238"/>
                      <a14:foregroundMark x1="44595" y1="94048" x2="44595" y2="94048"/>
                      <a14:foregroundMark x1="54730" y1="97024" x2="54730" y2="97024"/>
                      <a14:foregroundMark x1="27703" y1="91667" x2="25676" y2="90476"/>
                      <a14:foregroundMark x1="24324" y1="89286" x2="19595" y2="87500"/>
                      <a14:foregroundMark x1="16216" y1="80952" x2="14865" y2="76190"/>
                      <a14:foregroundMark x1="12838" y1="72619" x2="12838" y2="72619"/>
                      <a14:foregroundMark x1="8784" y1="72024" x2="8784" y2="72024"/>
                      <a14:foregroundMark x1="36486" y1="93452" x2="36486" y2="93452"/>
                      <a14:foregroundMark x1="52703" y1="93452" x2="52703" y2="93452"/>
                      <a14:foregroundMark x1="54054" y1="30357" x2="54054" y2="30357"/>
                      <a14:backgroundMark x1="31081" y1="98810" x2="31081" y2="98810"/>
                      <a14:backgroundMark x1="62838" y1="97024" x2="62838" y2="97024"/>
                      <a14:backgroundMark x1="58108" y1="98810" x2="58108" y2="98810"/>
                      <a14:backgroundMark x1="41892" y1="98810" x2="41892" y2="98810"/>
                      <a14:backgroundMark x1="54054" y1="99405" x2="54054" y2="99405"/>
                      <a14:backgroundMark x1="26351" y1="90476" x2="26351" y2="90476"/>
                      <a14:backgroundMark x1="56757" y1="97024" x2="56757" y2="97024"/>
                      <a14:backgroundMark x1="56081" y1="95238" x2="56081" y2="95238"/>
                      <a14:backgroundMark x1="54730" y1="98214" x2="54730" y2="98214"/>
                      <a14:backgroundMark x1="56081" y1="98214" x2="56081" y2="98214"/>
                      <a14:backgroundMark x1="54730" y1="95833" x2="54730" y2="95833"/>
                      <a14:backgroundMark x1="55405" y1="98214" x2="55405" y2="98214"/>
                      <a14:backgroundMark x1="56081" y1="97024" x2="56081" y2="97024"/>
                      <a14:backgroundMark x1="54730" y1="95833" x2="54730" y2="95833"/>
                      <a14:backgroundMark x1="54730" y1="95833" x2="54730" y2="95833"/>
                      <a14:backgroundMark x1="54730" y1="97024" x2="54730" y2="97024"/>
                      <a14:backgroundMark x1="54054" y1="97619" x2="54054" y2="97619"/>
                    </a14:backgroundRemoval>
                  </a14:imgEffect>
                </a14:imgLayer>
              </a14:imgProps>
            </a:ext>
          </a:extLst>
        </a:blip>
        <a:srcRect t="24359"/>
        <a:stretch/>
      </xdr:blipFill>
      <xdr:spPr>
        <a:xfrm>
          <a:off x="6969126" y="6384924"/>
          <a:ext cx="1266824" cy="113127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20</xdr:row>
      <xdr:rowOff>95250</xdr:rowOff>
    </xdr:from>
    <xdr:to>
      <xdr:col>1</xdr:col>
      <xdr:colOff>1388232</xdr:colOff>
      <xdr:row>20</xdr:row>
      <xdr:rowOff>1200150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93A80A4-3500-416A-99A2-B4E0180A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6238875"/>
          <a:ext cx="109613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209551</xdr:colOff>
      <xdr:row>20</xdr:row>
      <xdr:rowOff>114300</xdr:rowOff>
    </xdr:from>
    <xdr:to>
      <xdr:col>2</xdr:col>
      <xdr:colOff>1349375</xdr:colOff>
      <xdr:row>20</xdr:row>
      <xdr:rowOff>1162050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DAD9889-7BBD-4B41-9916-AC55A2625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478" b="91791" l="5556" r="93056">
                      <a14:foregroundMark x1="13194" y1="25373" x2="13194" y2="25373"/>
                      <a14:foregroundMark x1="5556" y1="55970" x2="5556" y2="55970"/>
                      <a14:foregroundMark x1="8333" y1="47015" x2="8333" y2="47015"/>
                      <a14:foregroundMark x1="11111" y1="42537" x2="11111" y2="42537"/>
                      <a14:foregroundMark x1="29861" y1="8955" x2="29861" y2="8955"/>
                      <a14:foregroundMark x1="49306" y1="8955" x2="49306" y2="8955"/>
                      <a14:foregroundMark x1="45139" y1="5970" x2="45139" y2="5970"/>
                      <a14:foregroundMark x1="70139" y1="12687" x2="70139" y2="12687"/>
                      <a14:foregroundMark x1="65278" y1="7463" x2="65278" y2="7463"/>
                      <a14:foregroundMark x1="48611" y1="4478" x2="48611" y2="4478"/>
                      <a14:foregroundMark x1="83333" y1="24627" x2="83333" y2="24627"/>
                      <a14:foregroundMark x1="86806" y1="44776" x2="86806" y2="44776"/>
                      <a14:foregroundMark x1="90972" y1="44776" x2="90972" y2="44776"/>
                      <a14:foregroundMark x1="64583" y1="88060" x2="64583" y2="88060"/>
                      <a14:foregroundMark x1="43750" y1="89552" x2="43750" y2="89552"/>
                      <a14:foregroundMark x1="49306" y1="92537" x2="49306" y2="92537"/>
                      <a14:foregroundMark x1="85417" y1="68657" x2="85417" y2="68657"/>
                      <a14:foregroundMark x1="88194" y1="28358" x2="88194" y2="28358"/>
                      <a14:foregroundMark x1="93056" y1="52985" x2="93056" y2="52985"/>
                    </a14:backgroundRemoval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rcRect t="-1" r="4033" b="4671"/>
        <a:stretch/>
      </xdr:blipFill>
      <xdr:spPr>
        <a:xfrm>
          <a:off x="3638551" y="5848350"/>
          <a:ext cx="1133474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20</xdr:row>
      <xdr:rowOff>95250</xdr:rowOff>
    </xdr:from>
    <xdr:to>
      <xdr:col>3</xdr:col>
      <xdr:colOff>1276350</xdr:colOff>
      <xdr:row>20</xdr:row>
      <xdr:rowOff>1158875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E14C547-1633-4626-9B0E-CE0B9FFD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412" b="96324" l="4412" r="94853">
                      <a14:foregroundMark x1="45588" y1="8088" x2="23529" y2="53676"/>
                      <a14:foregroundMark x1="43903" y1="79412" x2="51471" y2="88971"/>
                      <a14:foregroundMark x1="23529" y1="53676" x2="43903" y2="79412"/>
                      <a14:foregroundMark x1="55568" y1="79412" x2="71324" y2="42647"/>
                      <a14:foregroundMark x1="51471" y1="88971" x2="55568" y2="79412"/>
                      <a14:foregroundMark x1="71324" y1="42647" x2="48529" y2="7353"/>
                      <a14:foregroundMark x1="66912" y1="9559" x2="84559" y2="52941"/>
                      <a14:foregroundMark x1="84559" y1="52941" x2="64706" y2="13235"/>
                      <a14:foregroundMark x1="72059" y1="80147" x2="72059" y2="80147"/>
                      <a14:foregroundMark x1="83824" y1="71324" x2="83824" y2="71324"/>
                      <a14:foregroundMark x1="71324" y1="81618" x2="71324" y2="81618"/>
                      <a14:foregroundMark x1="52206" y1="93382" x2="52206" y2="93382"/>
                      <a14:foregroundMark x1="37500" y1="91912" x2="37500" y2="91912"/>
                      <a14:foregroundMark x1="13235" y1="75735" x2="13235" y2="75735"/>
                      <a14:foregroundMark x1="6618" y1="55147" x2="6618" y2="55147"/>
                      <a14:foregroundMark x1="7353" y1="27941" x2="7353" y2="27941"/>
                      <a14:foregroundMark x1="52941" y1="4412" x2="52941" y2="4412"/>
                      <a14:foregroundMark x1="86765" y1="26471" x2="86765" y2="26471"/>
                      <a14:foregroundMark x1="73529" y1="12500" x2="73529" y2="12500"/>
                      <a14:foregroundMark x1="27206" y1="8088" x2="27206" y2="8088"/>
                      <a14:foregroundMark x1="5147" y1="47059" x2="5147" y2="47059"/>
                      <a14:foregroundMark x1="88971" y1="67647" x2="88971" y2="67647"/>
                      <a14:foregroundMark x1="85294" y1="75735" x2="85294" y2="75735"/>
                      <a14:foregroundMark x1="72059" y1="85294" x2="72059" y2="85294"/>
                      <a14:foregroundMark x1="68382" y1="90441" x2="68382" y2="90441"/>
                      <a14:foregroundMark x1="76471" y1="83824" x2="76471" y2="83824"/>
                      <a14:foregroundMark x1="95588" y1="47059" x2="95588" y2="47059"/>
                      <a14:foregroundMark x1="51471" y1="96324" x2="51471" y2="96324"/>
                      <a14:backgroundMark x1="39706" y1="99265" x2="39706" y2="99265"/>
                      <a14:backgroundMark x1="43382" y1="79412" x2="43382" y2="79412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62550" y="58293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20</xdr:row>
      <xdr:rowOff>57150</xdr:rowOff>
    </xdr:from>
    <xdr:to>
      <xdr:col>5</xdr:col>
      <xdr:colOff>1387635</xdr:colOff>
      <xdr:row>20</xdr:row>
      <xdr:rowOff>1197133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54D34AA-11E7-470E-BFFB-A82BF9F76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2521" b="94958" l="4167" r="95000">
                      <a14:foregroundMark x1="13929" y1="36975" x2="10000" y2="42017"/>
                      <a14:foregroundMark x1="24998" y1="22768" x2="13929" y2="36975"/>
                      <a14:foregroundMark x1="37500" y1="6723" x2="35612" y2="9146"/>
                      <a14:foregroundMark x1="15278" y1="56303" x2="25833" y2="84874"/>
                      <a14:foregroundMark x1="10000" y1="42017" x2="15278" y2="56303"/>
                      <a14:foregroundMark x1="25833" y1="84874" x2="69167" y2="87395"/>
                      <a14:foregroundMark x1="69167" y1="87395" x2="89167" y2="46218"/>
                      <a14:foregroundMark x1="89167" y1="46218" x2="68915" y2="13398"/>
                      <a14:foregroundMark x1="46414" y1="7810" x2="38333" y2="7563"/>
                      <a14:foregroundMark x1="33333" y1="6723" x2="33333" y2="6723"/>
                      <a14:foregroundMark x1="6667" y1="32773" x2="6667" y2="32773"/>
                      <a14:foregroundMark x1="12855" y1="30252" x2="13333" y2="30252"/>
                      <a14:foregroundMark x1="79167" y1="15966" x2="79167" y2="15966"/>
                      <a14:foregroundMark x1="80833" y1="20168" x2="80833" y2="20168"/>
                      <a14:foregroundMark x1="88333" y1="29412" x2="88333" y2="29412"/>
                      <a14:foregroundMark x1="89167" y1="33613" x2="89167" y2="33613"/>
                      <a14:foregroundMark x1="95000" y1="48739" x2="95000" y2="48739"/>
                      <a14:foregroundMark x1="92500" y1="42017" x2="92500" y2="42017"/>
                      <a14:foregroundMark x1="93333" y1="56303" x2="93333" y2="56303"/>
                      <a14:foregroundMark x1="95000" y1="58824" x2="95000" y2="58824"/>
                      <a14:foregroundMark x1="87500" y1="69748" x2="87500" y2="69748"/>
                      <a14:foregroundMark x1="81667" y1="82353" x2="81667" y2="82353"/>
                      <a14:foregroundMark x1="66667" y1="91597" x2="66667" y2="91597"/>
                      <a14:foregroundMark x1="46667" y1="91597" x2="46667" y2="91597"/>
                      <a14:foregroundMark x1="33333" y1="91597" x2="33333" y2="91597"/>
                      <a14:foregroundMark x1="18333" y1="81513" x2="18333" y2="81513"/>
                      <a14:foregroundMark x1="9167" y1="67227" x2="9167" y2="67227"/>
                      <a14:foregroundMark x1="8333" y1="63025" x2="8333" y2="63025"/>
                      <a14:foregroundMark x1="5833" y1="67227" x2="5833" y2="67227"/>
                      <a14:foregroundMark x1="6667" y1="48739" x2="6667" y2="48739"/>
                      <a14:foregroundMark x1="5833" y1="55462" x2="5833" y2="55462"/>
                      <a14:foregroundMark x1="5000" y1="51261" x2="5000" y2="51261"/>
                      <a14:foregroundMark x1="5833" y1="45378" x2="5833" y2="45378"/>
                      <a14:foregroundMark x1="4167" y1="46218" x2="4167" y2="46218"/>
                      <a14:foregroundMark x1="49167" y1="95798" x2="49167" y2="95798"/>
                      <a14:foregroundMark x1="63333" y1="92437" x2="63333" y2="92437"/>
                      <a14:foregroundMark x1="62500" y1="10084" x2="62500" y2="10084"/>
                      <a14:foregroundMark x1="65833" y1="9244" x2="65833" y2="9244"/>
                      <a14:foregroundMark x1="50833" y1="6723" x2="50833" y2="6723"/>
                      <a14:foregroundMark x1="45833" y1="5042" x2="45833" y2="5042"/>
                      <a14:foregroundMark x1="51667" y1="5042" x2="51667" y2="5042"/>
                      <a14:foregroundMark x1="65833" y1="7563" x2="65833" y2="7563"/>
                      <a14:foregroundMark x1="63333" y1="9244" x2="63333" y2="9244"/>
                      <a14:foregroundMark x1="60000" y1="6723" x2="60000" y2="6723"/>
                      <a14:foregroundMark x1="18333" y1="19328" x2="18333" y2="19328"/>
                      <a14:foregroundMark x1="17500" y1="17647" x2="17500" y2="17647"/>
                      <a14:foregroundMark x1="15833" y1="17647" x2="15833" y2="17647"/>
                      <a14:foregroundMark x1="20833" y1="16807" x2="20833" y2="16807"/>
                      <a14:foregroundMark x1="50000" y1="2521" x2="50000" y2="2521"/>
                      <a14:foregroundMark x1="50000" y1="1681" x2="50000" y2="1681"/>
                      <a14:backgroundMark x1="9167" y1="6723" x2="9167" y2="6723"/>
                      <a14:backgroundMark x1="6818" y1="17647" x2="0" y2="21849"/>
                      <a14:backgroundMark x1="8181" y1="16807" x2="6818" y2="17647"/>
                      <a14:backgroundMark x1="30000" y1="3361" x2="8181" y2="16807"/>
                      <a14:backgroundMark x1="69167" y1="1681" x2="41667" y2="0"/>
                      <a14:backgroundMark x1="833" y1="31933" x2="833" y2="31933"/>
                      <a14:backgroundMark x1="833" y1="36975" x2="833" y2="36975"/>
                      <a14:backgroundMark x1="2500" y1="42017" x2="2500" y2="42017"/>
                      <a14:backgroundMark x1="2500" y1="42017" x2="2500" y2="42017"/>
                      <a14:backgroundMark x1="3333" y1="56303" x2="3333" y2="5630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210550" y="5791200"/>
          <a:ext cx="1143160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43</xdr:row>
      <xdr:rowOff>95250</xdr:rowOff>
    </xdr:from>
    <xdr:to>
      <xdr:col>2</xdr:col>
      <xdr:colOff>1276349</xdr:colOff>
      <xdr:row>43</xdr:row>
      <xdr:rowOff>1158875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56BFA6B-3AAF-4C95-95BC-3CB7C48CD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8824" b="94118" l="4878" r="94309">
                      <a14:foregroundMark x1="59350" y1="10294" x2="17886" y2="32353"/>
                      <a14:foregroundMark x1="13143" y1="58088" x2="11382" y2="67647"/>
                      <a14:foregroundMark x1="14498" y1="50735" x2="13143" y2="58088"/>
                      <a14:foregroundMark x1="14905" y1="48529" x2="14498" y2="50735"/>
                      <a14:foregroundMark x1="17886" y1="32353" x2="14905" y2="48529"/>
                      <a14:foregroundMark x1="22764" y1="24265" x2="12195" y2="43382"/>
                      <a14:foregroundMark x1="43902" y1="10294" x2="43902" y2="10294"/>
                      <a14:foregroundMark x1="52846" y1="9559" x2="52846" y2="9559"/>
                      <a14:foregroundMark x1="46341" y1="8824" x2="46341" y2="8824"/>
                      <a14:foregroundMark x1="34959" y1="16176" x2="34959" y2="16176"/>
                      <a14:foregroundMark x1="82927" y1="27941" x2="82114" y2="29412"/>
                      <a14:foregroundMark x1="83740" y1="23529" x2="90244" y2="44118"/>
                      <a14:foregroundMark x1="89431" y1="61029" x2="79675" y2="76471"/>
                      <a14:foregroundMark x1="62602" y1="76471" x2="36585" y2="76471"/>
                      <a14:foregroundMark x1="56911" y1="93382" x2="56911" y2="93382"/>
                      <a14:foregroundMark x1="43902" y1="91912" x2="43902" y2="91912"/>
                      <a14:foregroundMark x1="40650" y1="90441" x2="40650" y2="90441"/>
                      <a14:foregroundMark x1="36585" y1="84559" x2="36585" y2="84559"/>
                      <a14:foregroundMark x1="53659" y1="94118" x2="56911" y2="93382"/>
                      <a14:foregroundMark x1="92683" y1="55882" x2="92683" y2="55882"/>
                      <a14:foregroundMark x1="93496" y1="65441" x2="93496" y2="65441"/>
                      <a14:foregroundMark x1="93496" y1="71324" x2="93496" y2="71324"/>
                      <a14:foregroundMark x1="93496" y1="63235" x2="93496" y2="63235"/>
                      <a14:foregroundMark x1="92683" y1="37500" x2="92683" y2="37500"/>
                      <a14:foregroundMark x1="92683" y1="36765" x2="92683" y2="36765"/>
                      <a14:foregroundMark x1="94309" y1="30147" x2="94309" y2="30147"/>
                      <a14:foregroundMark x1="63415" y1="17647" x2="63415" y2="17647"/>
                      <a14:foregroundMark x1="78049" y1="22794" x2="78049" y2="22794"/>
                      <a14:foregroundMark x1="15447" y1="22794" x2="15447" y2="22794"/>
                      <a14:foregroundMark x1="9756" y1="27941" x2="9756" y2="27941"/>
                      <a14:foregroundMark x1="4878" y1="33088" x2="4878" y2="33088"/>
                      <a14:foregroundMark x1="9756" y1="75735" x2="9756" y2="75735"/>
                      <a14:foregroundMark x1="13821" y1="77941" x2="16260" y2="79412"/>
                      <a14:foregroundMark x1="24390" y1="77206" x2="24390" y2="77206"/>
                      <a14:foregroundMark x1="5691" y1="55882" x2="5691" y2="55882"/>
                      <a14:backgroundMark x1="4878" y1="48529" x2="4878" y2="48529"/>
                      <a14:backgroundMark x1="4878" y1="50735" x2="4878" y2="50735"/>
                      <a14:backgroundMark x1="1626" y1="58088" x2="1626" y2="58088"/>
                    </a14:backgroundRemoval>
                  </a14:imgEffect>
                </a14:imgLayer>
              </a14:imgProps>
            </a:ext>
          </a:extLst>
        </a:blip>
        <a:srcRect r="-1916" b="3479"/>
        <a:stretch/>
      </xdr:blipFill>
      <xdr:spPr>
        <a:xfrm>
          <a:off x="3695700" y="10763250"/>
          <a:ext cx="1009649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43</xdr:row>
      <xdr:rowOff>85725</xdr:rowOff>
    </xdr:from>
    <xdr:to>
      <xdr:col>3</xdr:col>
      <xdr:colOff>1236980</xdr:colOff>
      <xdr:row>43</xdr:row>
      <xdr:rowOff>1178467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8AEC4DC-34A5-43E0-9608-B091DDFA2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4380" b="92701" l="4065" r="93496">
                      <a14:foregroundMark x1="13205" y1="48175" x2="4878" y2="64234"/>
                      <a14:foregroundMark x1="26829" y1="21898" x2="13205" y2="48175"/>
                      <a14:foregroundMark x1="30122" y1="83942" x2="42276" y2="93431"/>
                      <a14:foregroundMark x1="28252" y1="82482" x2="30122" y2="83942"/>
                      <a14:foregroundMark x1="4878" y1="64234" x2="28252" y2="82482"/>
                      <a14:foregroundMark x1="71747" y1="82482" x2="89431" y2="75912"/>
                      <a14:foregroundMark x1="42276" y1="93431" x2="71747" y2="82482"/>
                      <a14:foregroundMark x1="89431" y1="75912" x2="91057" y2="31387"/>
                      <a14:foregroundMark x1="91057" y1="31387" x2="52033" y2="4380"/>
                      <a14:foregroundMark x1="52033" y1="4380" x2="29268" y2="21168"/>
                      <a14:foregroundMark x1="41463" y1="43796" x2="41463" y2="43796"/>
                      <a14:foregroundMark x1="30081" y1="29927" x2="34959" y2="28467"/>
                      <a14:foregroundMark x1="52033" y1="22628" x2="52033" y2="22628"/>
                      <a14:foregroundMark x1="86179" y1="44526" x2="86179" y2="44526"/>
                      <a14:foregroundMark x1="73171" y1="40876" x2="73171" y2="40876"/>
                      <a14:foregroundMark x1="86179" y1="24088" x2="86179" y2="24088"/>
                      <a14:foregroundMark x1="93496" y1="27737" x2="93496" y2="27737"/>
                      <a14:foregroundMark x1="16260" y1="21168" x2="16260" y2="21168"/>
                      <a14:foregroundMark x1="9756" y1="30657" x2="9756" y2="30657"/>
                      <a14:foregroundMark x1="4878" y1="35036" x2="4878" y2="35036"/>
                      <a14:foregroundMark x1="4878" y1="27737" x2="8130" y2="27737"/>
                      <a14:foregroundMark x1="26016" y1="67883" x2="26016" y2="67883"/>
                      <a14:foregroundMark x1="24390" y1="48905" x2="24390" y2="48905"/>
                      <a14:foregroundMark x1="26016" y1="39416" x2="26016" y2="39416"/>
                      <a14:foregroundMark x1="21138" y1="66423" x2="21138" y2="66423"/>
                      <a14:foregroundMark x1="30894" y1="63504" x2="30894" y2="63504"/>
                      <a14:foregroundMark x1="53659" y1="76642" x2="53659" y2="76642"/>
                      <a14:foregroundMark x1="48780" y1="79562" x2="48780" y2="79562"/>
                      <a14:foregroundMark x1="40650" y1="72993" x2="40650" y2="72993"/>
                      <a14:foregroundMark x1="73984" y1="63504" x2="73984" y2="63504"/>
                      <a14:foregroundMark x1="54472" y1="30657" x2="54472" y2="30657"/>
                      <a14:foregroundMark x1="53659" y1="92701" x2="53659" y2="92701"/>
                      <a14:backgroundMark x1="4065" y1="48175" x2="4065" y2="48175"/>
                      <a14:backgroundMark x1="30081" y1="83942" x2="30081" y2="83942"/>
                      <a14:backgroundMark x1="30081" y1="82482" x2="30081" y2="82482"/>
                      <a14:backgroundMark x1="71545" y1="82482" x2="71545" y2="8248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175" y="10753725"/>
          <a:ext cx="981075" cy="1092742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43</xdr:row>
      <xdr:rowOff>104775</xdr:rowOff>
    </xdr:from>
    <xdr:to>
      <xdr:col>4</xdr:col>
      <xdr:colOff>1277491</xdr:colOff>
      <xdr:row>43</xdr:row>
      <xdr:rowOff>1163319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63DD702-EB75-43D1-AEEB-DC192606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7200" b="93600" l="4839" r="93548">
                      <a14:foregroundMark x1="26613" y1="26400" x2="26613" y2="26400"/>
                      <a14:foregroundMark x1="22581" y1="17600" x2="26613" y2="31200"/>
                      <a14:foregroundMark x1="21774" y1="17600" x2="33871" y2="31200"/>
                      <a14:foregroundMark x1="51613" y1="27200" x2="53226" y2="24000"/>
                      <a14:foregroundMark x1="50806" y1="12000" x2="66129" y2="36000"/>
                      <a14:foregroundMark x1="40323" y1="13600" x2="79032" y2="38400"/>
                      <a14:foregroundMark x1="79032" y1="38400" x2="68548" y2="82400"/>
                      <a14:foregroundMark x1="68548" y1="82400" x2="21774" y2="82400"/>
                      <a14:foregroundMark x1="21774" y1="82400" x2="13710" y2="44000"/>
                      <a14:foregroundMark x1="8871" y1="41600" x2="8871" y2="41600"/>
                      <a14:foregroundMark x1="13710" y1="37600" x2="13710" y2="37600"/>
                      <a14:foregroundMark x1="4839" y1="40800" x2="4839" y2="40800"/>
                      <a14:foregroundMark x1="5645" y1="48800" x2="5645" y2="48800"/>
                      <a14:foregroundMark x1="33065" y1="91200" x2="33065" y2="91200"/>
                      <a14:foregroundMark x1="65323" y1="93600" x2="65323" y2="93600"/>
                      <a14:foregroundMark x1="59677" y1="92000" x2="59677" y2="92000"/>
                      <a14:foregroundMark x1="83065" y1="81600" x2="83065" y2="81600"/>
                      <a14:foregroundMark x1="91129" y1="51200" x2="91129" y2="51200"/>
                      <a14:foregroundMark x1="91129" y1="40800" x2="91129" y2="40800"/>
                      <a14:foregroundMark x1="93548" y1="48800" x2="93548" y2="48800"/>
                      <a14:foregroundMark x1="51613" y1="7200" x2="51613" y2="7200"/>
                      <a14:foregroundMark x1="93548" y1="44800" x2="93548" y2="44800"/>
                    </a14:backgroundRemoval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96074" y="10772775"/>
          <a:ext cx="1039367" cy="104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20</xdr:row>
      <xdr:rowOff>85725</xdr:rowOff>
    </xdr:from>
    <xdr:to>
      <xdr:col>2</xdr:col>
      <xdr:colOff>1311275</xdr:colOff>
      <xdr:row>20</xdr:row>
      <xdr:rowOff>1196975</xdr:rowOff>
    </xdr:to>
    <xdr:sp macro="" textlink="">
      <xdr:nvSpPr>
        <xdr:cNvPr id="1047" name="AutoShape 23">
          <a:extLst>
            <a:ext uri="{FF2B5EF4-FFF2-40B4-BE49-F238E27FC236}">
              <a16:creationId xmlns:a16="http://schemas.microsoft.com/office/drawing/2014/main" id="{EAFCF7E4-7F7C-48CB-83B2-1A0C2FD95283}"/>
            </a:ext>
          </a:extLst>
        </xdr:cNvPr>
        <xdr:cNvSpPr>
          <a:spLocks noChangeAspect="1" noChangeArrowheads="1"/>
        </xdr:cNvSpPr>
      </xdr:nvSpPr>
      <xdr:spPr bwMode="auto">
        <a:xfrm>
          <a:off x="363855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209550</xdr:colOff>
      <xdr:row>20</xdr:row>
      <xdr:rowOff>85725</xdr:rowOff>
    </xdr:from>
    <xdr:ext cx="1095375" cy="1104900"/>
    <xdr:sp macro="" textlink="">
      <xdr:nvSpPr>
        <xdr:cNvPr id="19" name="AutoShape 23">
          <a:extLst>
            <a:ext uri="{FF2B5EF4-FFF2-40B4-BE49-F238E27FC236}">
              <a16:creationId xmlns:a16="http://schemas.microsoft.com/office/drawing/2014/main" id="{08A6A31C-41DA-4E48-9C42-63DBBAE69552}"/>
            </a:ext>
          </a:extLst>
        </xdr:cNvPr>
        <xdr:cNvSpPr>
          <a:spLocks noChangeAspect="1" noChangeArrowheads="1"/>
        </xdr:cNvSpPr>
      </xdr:nvSpPr>
      <xdr:spPr bwMode="auto">
        <a:xfrm>
          <a:off x="363855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209550</xdr:colOff>
      <xdr:row>20</xdr:row>
      <xdr:rowOff>85725</xdr:rowOff>
    </xdr:from>
    <xdr:ext cx="1095375" cy="1104900"/>
    <xdr:sp macro="" textlink="">
      <xdr:nvSpPr>
        <xdr:cNvPr id="21" name="AutoShape 23">
          <a:extLst>
            <a:ext uri="{FF2B5EF4-FFF2-40B4-BE49-F238E27FC236}">
              <a16:creationId xmlns:a16="http://schemas.microsoft.com/office/drawing/2014/main" id="{94CEFD95-66B1-4136-BBDA-8E1BDBAB6668}"/>
            </a:ext>
          </a:extLst>
        </xdr:cNvPr>
        <xdr:cNvSpPr>
          <a:spLocks noChangeAspect="1" noChangeArrowheads="1"/>
        </xdr:cNvSpPr>
      </xdr:nvSpPr>
      <xdr:spPr bwMode="auto">
        <a:xfrm>
          <a:off x="363855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209550</xdr:colOff>
      <xdr:row>20</xdr:row>
      <xdr:rowOff>85725</xdr:rowOff>
    </xdr:from>
    <xdr:ext cx="1095375" cy="1104900"/>
    <xdr:sp macro="" textlink="">
      <xdr:nvSpPr>
        <xdr:cNvPr id="23" name="AutoShape 23">
          <a:extLst>
            <a:ext uri="{FF2B5EF4-FFF2-40B4-BE49-F238E27FC236}">
              <a16:creationId xmlns:a16="http://schemas.microsoft.com/office/drawing/2014/main" id="{C2F9DA0B-2F31-4DD7-ABF8-84A5DCC95FBE}"/>
            </a:ext>
          </a:extLst>
        </xdr:cNvPr>
        <xdr:cNvSpPr>
          <a:spLocks noChangeAspect="1" noChangeArrowheads="1"/>
        </xdr:cNvSpPr>
      </xdr:nvSpPr>
      <xdr:spPr bwMode="auto">
        <a:xfrm>
          <a:off x="363855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209550</xdr:colOff>
      <xdr:row>20</xdr:row>
      <xdr:rowOff>85725</xdr:rowOff>
    </xdr:from>
    <xdr:to>
      <xdr:col>1</xdr:col>
      <xdr:colOff>1311275</xdr:colOff>
      <xdr:row>20</xdr:row>
      <xdr:rowOff>1196975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1CA08012-9030-42DC-AD6C-D655B532D530}"/>
            </a:ext>
          </a:extLst>
        </xdr:cNvPr>
        <xdr:cNvSpPr>
          <a:spLocks noChangeAspect="1" noChangeArrowheads="1"/>
        </xdr:cNvSpPr>
      </xdr:nvSpPr>
      <xdr:spPr bwMode="auto">
        <a:xfrm>
          <a:off x="2124075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1771650</xdr:colOff>
      <xdr:row>6</xdr:row>
      <xdr:rowOff>9525</xdr:rowOff>
    </xdr:from>
    <xdr:to>
      <xdr:col>0</xdr:col>
      <xdr:colOff>1771651</xdr:colOff>
      <xdr:row>8</xdr:row>
      <xdr:rowOff>19050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1C81383C-26BC-4E59-A58D-F2870AC88233}"/>
            </a:ext>
          </a:extLst>
        </xdr:cNvPr>
        <xdr:cNvCxnSpPr/>
      </xdr:nvCxnSpPr>
      <xdr:spPr>
        <a:xfrm flipH="1">
          <a:off x="1771650" y="2047875"/>
          <a:ext cx="1" cy="542925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53749</xdr:colOff>
      <xdr:row>0</xdr:row>
      <xdr:rowOff>608971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B326CD7-94A8-4265-A318-6BA0E0DE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95274"/>
          <a:ext cx="1803175" cy="313697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53749</xdr:colOff>
      <xdr:row>0</xdr:row>
      <xdr:rowOff>608971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384B101-D680-4747-B2D1-B068B80A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95274"/>
          <a:ext cx="1800000" cy="313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123826</xdr:colOff>
      <xdr:row>14</xdr:row>
      <xdr:rowOff>66674</xdr:rowOff>
    </xdr:from>
    <xdr:to>
      <xdr:col>4</xdr:col>
      <xdr:colOff>1383030</xdr:colOff>
      <xdr:row>14</xdr:row>
      <xdr:rowOff>1197309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CEE9EC-A492-4953-A0A4-C7506EF753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359"/>
        <a:stretch/>
      </xdr:blipFill>
      <xdr:spPr>
        <a:xfrm>
          <a:off x="6581776" y="5800724"/>
          <a:ext cx="1257299" cy="113444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14</xdr:row>
      <xdr:rowOff>85725</xdr:rowOff>
    </xdr:from>
    <xdr:to>
      <xdr:col>1</xdr:col>
      <xdr:colOff>1307587</xdr:colOff>
      <xdr:row>14</xdr:row>
      <xdr:rowOff>1192530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CD696D-BC96-4DEB-BDB5-20696A807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6" y="5819775"/>
          <a:ext cx="109613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209551</xdr:colOff>
      <xdr:row>14</xdr:row>
      <xdr:rowOff>114300</xdr:rowOff>
    </xdr:from>
    <xdr:to>
      <xdr:col>2</xdr:col>
      <xdr:colOff>1344930</xdr:colOff>
      <xdr:row>14</xdr:row>
      <xdr:rowOff>1155065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69277B-CCB8-462A-B3BC-983F29733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rcRect t="-1" r="4033" b="4671"/>
        <a:stretch/>
      </xdr:blipFill>
      <xdr:spPr>
        <a:xfrm>
          <a:off x="3638551" y="5848350"/>
          <a:ext cx="1133474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14</xdr:row>
      <xdr:rowOff>95250</xdr:rowOff>
    </xdr:from>
    <xdr:to>
      <xdr:col>3</xdr:col>
      <xdr:colOff>1269365</xdr:colOff>
      <xdr:row>14</xdr:row>
      <xdr:rowOff>1154430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34031F0-32BA-49D0-B2AB-AF6CFAF8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62550" y="58293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14</xdr:row>
      <xdr:rowOff>57150</xdr:rowOff>
    </xdr:from>
    <xdr:to>
      <xdr:col>5</xdr:col>
      <xdr:colOff>1383190</xdr:colOff>
      <xdr:row>14</xdr:row>
      <xdr:rowOff>1192688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F5BB753-01DB-49B5-ABC0-C236C111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0550" y="5791200"/>
          <a:ext cx="1143160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35</xdr:row>
      <xdr:rowOff>95250</xdr:rowOff>
    </xdr:from>
    <xdr:to>
      <xdr:col>2</xdr:col>
      <xdr:colOff>1283334</xdr:colOff>
      <xdr:row>35</xdr:row>
      <xdr:rowOff>1154430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03C94C0-2251-4DB8-9568-17BBEB6BB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-1916" b="3479"/>
        <a:stretch/>
      </xdr:blipFill>
      <xdr:spPr>
        <a:xfrm>
          <a:off x="3695700" y="10763250"/>
          <a:ext cx="1009649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35</xdr:row>
      <xdr:rowOff>123825</xdr:rowOff>
    </xdr:from>
    <xdr:to>
      <xdr:col>3</xdr:col>
      <xdr:colOff>1231265</xdr:colOff>
      <xdr:row>35</xdr:row>
      <xdr:rowOff>1216567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7B42A2C-8FD2-4511-94C6-FE1BB4EA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00650" y="10791825"/>
          <a:ext cx="981075" cy="1092742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35</xdr:row>
      <xdr:rowOff>104775</xdr:rowOff>
    </xdr:from>
    <xdr:to>
      <xdr:col>4</xdr:col>
      <xdr:colOff>1273681</xdr:colOff>
      <xdr:row>35</xdr:row>
      <xdr:rowOff>1159509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8CBC9B7-F137-4A5F-8D7F-7D0006170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96074" y="10772775"/>
          <a:ext cx="1039367" cy="104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14</xdr:row>
      <xdr:rowOff>85725</xdr:rowOff>
    </xdr:from>
    <xdr:to>
      <xdr:col>2</xdr:col>
      <xdr:colOff>1306830</xdr:colOff>
      <xdr:row>14</xdr:row>
      <xdr:rowOff>1192530</xdr:rowOff>
    </xdr:to>
    <xdr:sp macro="" textlink="">
      <xdr:nvSpPr>
        <xdr:cNvPr id="11" name="AutoShape 23">
          <a:extLst>
            <a:ext uri="{FF2B5EF4-FFF2-40B4-BE49-F238E27FC236}">
              <a16:creationId xmlns:a16="http://schemas.microsoft.com/office/drawing/2014/main" id="{1BEDFD32-C58B-4FF9-BD6A-0B27EF9C2787}"/>
            </a:ext>
          </a:extLst>
        </xdr:cNvPr>
        <xdr:cNvSpPr>
          <a:spLocks noChangeAspect="1" noChangeArrowheads="1"/>
        </xdr:cNvSpPr>
      </xdr:nvSpPr>
      <xdr:spPr bwMode="auto">
        <a:xfrm>
          <a:off x="363855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209550</xdr:colOff>
      <xdr:row>14</xdr:row>
      <xdr:rowOff>123825</xdr:rowOff>
    </xdr:from>
    <xdr:ext cx="1095375" cy="1104900"/>
    <xdr:sp macro="" textlink="">
      <xdr:nvSpPr>
        <xdr:cNvPr id="12" name="AutoShape 23">
          <a:extLst>
            <a:ext uri="{FF2B5EF4-FFF2-40B4-BE49-F238E27FC236}">
              <a16:creationId xmlns:a16="http://schemas.microsoft.com/office/drawing/2014/main" id="{F5DB0D54-3BC8-46C1-9F9B-A450761FC644}"/>
            </a:ext>
          </a:extLst>
        </xdr:cNvPr>
        <xdr:cNvSpPr>
          <a:spLocks noChangeAspect="1" noChangeArrowheads="1"/>
        </xdr:cNvSpPr>
      </xdr:nvSpPr>
      <xdr:spPr bwMode="auto">
        <a:xfrm>
          <a:off x="5153025" y="4400550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209550</xdr:colOff>
      <xdr:row>14</xdr:row>
      <xdr:rowOff>85725</xdr:rowOff>
    </xdr:from>
    <xdr:ext cx="1095375" cy="1104900"/>
    <xdr:sp macro="" textlink="">
      <xdr:nvSpPr>
        <xdr:cNvPr id="13" name="AutoShape 23">
          <a:extLst>
            <a:ext uri="{FF2B5EF4-FFF2-40B4-BE49-F238E27FC236}">
              <a16:creationId xmlns:a16="http://schemas.microsoft.com/office/drawing/2014/main" id="{4610C534-4D97-49C9-94B9-7E4E7CFC138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209550</xdr:colOff>
      <xdr:row>14</xdr:row>
      <xdr:rowOff>85725</xdr:rowOff>
    </xdr:from>
    <xdr:ext cx="1095375" cy="1104900"/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8B386266-7EE9-4154-8835-4AB8286B2D0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209550</xdr:colOff>
      <xdr:row>14</xdr:row>
      <xdr:rowOff>85725</xdr:rowOff>
    </xdr:from>
    <xdr:to>
      <xdr:col>1</xdr:col>
      <xdr:colOff>1306830</xdr:colOff>
      <xdr:row>14</xdr:row>
      <xdr:rowOff>1192530</xdr:rowOff>
    </xdr:to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E56C6808-4EDB-49CF-BABF-A5A79E5B6181}"/>
            </a:ext>
          </a:extLst>
        </xdr:cNvPr>
        <xdr:cNvSpPr>
          <a:spLocks noChangeAspect="1" noChangeArrowheads="1"/>
        </xdr:cNvSpPr>
      </xdr:nvSpPr>
      <xdr:spPr bwMode="auto">
        <a:xfrm>
          <a:off x="2124075" y="5819775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47399</xdr:colOff>
      <xdr:row>0</xdr:row>
      <xdr:rowOff>608971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C28C17B-1CF9-4938-9F15-1787F02B8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95274"/>
          <a:ext cx="1800000" cy="313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123826</xdr:colOff>
      <xdr:row>21</xdr:row>
      <xdr:rowOff>66674</xdr:rowOff>
    </xdr:from>
    <xdr:to>
      <xdr:col>4</xdr:col>
      <xdr:colOff>1387475</xdr:colOff>
      <xdr:row>21</xdr:row>
      <xdr:rowOff>1201119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A9DCFC-8ADE-4DF0-9883-265D71813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381" b="97024" l="4730" r="89865">
                      <a14:foregroundMark x1="82432" y1="70833" x2="74324" y2="36905"/>
                      <a14:foregroundMark x1="74324" y1="36905" x2="36486" y2="31548"/>
                      <a14:foregroundMark x1="36486" y1="31548" x2="12838" y2="59524"/>
                      <a14:foregroundMark x1="12838" y1="59524" x2="27703" y2="89286"/>
                      <a14:foregroundMark x1="27703" y1="89286" x2="66216" y2="91071"/>
                      <a14:foregroundMark x1="66216" y1="91071" x2="81757" y2="71429"/>
                      <a14:foregroundMark x1="83108" y1="55952" x2="81757" y2="52381"/>
                      <a14:foregroundMark x1="76351" y1="41667" x2="76351" y2="41667"/>
                      <a14:foregroundMark x1="79054" y1="42262" x2="79054" y2="42262"/>
                      <a14:foregroundMark x1="61486" y1="33333" x2="61486" y2="33333"/>
                      <a14:foregroundMark x1="64865" y1="32143" x2="64865" y2="32143"/>
                      <a14:foregroundMark x1="48649" y1="32143" x2="48649" y2="32143"/>
                      <a14:foregroundMark x1="47973" y1="28571" x2="47973" y2="28571"/>
                      <a14:foregroundMark x1="45270" y1="29167" x2="45270" y2="29167"/>
                      <a14:foregroundMark x1="32432" y1="33929" x2="32432" y2="33929"/>
                      <a14:foregroundMark x1="22297" y1="42262" x2="22297" y2="42262"/>
                      <a14:foregroundMark x1="22297" y1="38690" x2="22297" y2="38690"/>
                      <a14:foregroundMark x1="20946" y1="38690" x2="19595" y2="42262"/>
                      <a14:foregroundMark x1="12838" y1="50000" x2="12838" y2="50000"/>
                      <a14:foregroundMark x1="12162" y1="51786" x2="12162" y2="51786"/>
                      <a14:foregroundMark x1="10811" y1="48214" x2="10811" y2="48214"/>
                      <a14:foregroundMark x1="8108" y1="64286" x2="8108" y2="64286"/>
                      <a14:foregroundMark x1="7432" y1="61310" x2="7432" y2="61310"/>
                      <a14:foregroundMark x1="8784" y1="61310" x2="8784" y2="61310"/>
                      <a14:foregroundMark x1="6081" y1="60714" x2="6081" y2="60714"/>
                      <a14:foregroundMark x1="85811" y1="50000" x2="85811" y2="50000"/>
                      <a14:foregroundMark x1="85811" y1="52381" x2="85811" y2="52381"/>
                      <a14:foregroundMark x1="86486" y1="61905" x2="86486" y2="61905"/>
                      <a14:foregroundMark x1="89189" y1="63690" x2="89189" y2="63690"/>
                      <a14:foregroundMark x1="88514" y1="60714" x2="88514" y2="60714"/>
                      <a14:foregroundMark x1="88514" y1="66667" x2="88514" y2="66667"/>
                      <a14:foregroundMark x1="81757" y1="75000" x2="81757" y2="75000"/>
                      <a14:foregroundMark x1="83784" y1="73214" x2="83784" y2="73214"/>
                      <a14:foregroundMark x1="85135" y1="76190" x2="85135" y2="76190"/>
                      <a14:foregroundMark x1="87838" y1="73214" x2="87838" y2="73214"/>
                      <a14:foregroundMark x1="77703" y1="88095" x2="77703" y2="88095"/>
                      <a14:foregroundMark x1="72297" y1="89286" x2="72297" y2="89286"/>
                      <a14:foregroundMark x1="79054" y1="88095" x2="79054" y2="88095"/>
                      <a14:foregroundMark x1="62838" y1="92857" x2="62838" y2="92857"/>
                      <a14:foregroundMark x1="48649" y1="95238" x2="48649" y2="95238"/>
                      <a14:foregroundMark x1="44595" y1="94048" x2="44595" y2="94048"/>
                      <a14:foregroundMark x1="54730" y1="97024" x2="54730" y2="97024"/>
                      <a14:foregroundMark x1="27703" y1="91667" x2="25676" y2="90476"/>
                      <a14:foregroundMark x1="24324" y1="89286" x2="19595" y2="87500"/>
                      <a14:foregroundMark x1="16216" y1="80952" x2="14865" y2="76190"/>
                      <a14:foregroundMark x1="12838" y1="72619" x2="12838" y2="72619"/>
                      <a14:foregroundMark x1="8784" y1="72024" x2="8784" y2="72024"/>
                      <a14:foregroundMark x1="36486" y1="93452" x2="36486" y2="93452"/>
                      <a14:foregroundMark x1="52703" y1="93452" x2="52703" y2="93452"/>
                      <a14:foregroundMark x1="54054" y1="30357" x2="54054" y2="30357"/>
                      <a14:backgroundMark x1="31081" y1="98810" x2="31081" y2="98810"/>
                      <a14:backgroundMark x1="62838" y1="97024" x2="62838" y2="97024"/>
                      <a14:backgroundMark x1="58108" y1="98810" x2="58108" y2="98810"/>
                      <a14:backgroundMark x1="41892" y1="98810" x2="41892" y2="98810"/>
                      <a14:backgroundMark x1="54054" y1="99405" x2="54054" y2="99405"/>
                      <a14:backgroundMark x1="26351" y1="90476" x2="26351" y2="90476"/>
                      <a14:backgroundMark x1="56757" y1="97024" x2="56757" y2="97024"/>
                      <a14:backgroundMark x1="56081" y1="95238" x2="56081" y2="95238"/>
                      <a14:backgroundMark x1="54730" y1="98214" x2="54730" y2="98214"/>
                      <a14:backgroundMark x1="56081" y1="98214" x2="56081" y2="98214"/>
                      <a14:backgroundMark x1="54730" y1="95833" x2="54730" y2="95833"/>
                      <a14:backgroundMark x1="55405" y1="98214" x2="55405" y2="98214"/>
                      <a14:backgroundMark x1="56081" y1="97024" x2="56081" y2="97024"/>
                      <a14:backgroundMark x1="54730" y1="95833" x2="54730" y2="95833"/>
                      <a14:backgroundMark x1="54730" y1="95833" x2="54730" y2="95833"/>
                      <a14:backgroundMark x1="54730" y1="97024" x2="54730" y2="97024"/>
                      <a14:backgroundMark x1="54054" y1="97619" x2="54054" y2="97619"/>
                    </a14:backgroundRemoval>
                  </a14:imgEffect>
                </a14:imgLayer>
              </a14:imgProps>
            </a:ext>
          </a:extLst>
        </a:blip>
        <a:srcRect t="24359"/>
        <a:stretch/>
      </xdr:blipFill>
      <xdr:spPr>
        <a:xfrm>
          <a:off x="6931026" y="6203949"/>
          <a:ext cx="1260474" cy="113127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21</xdr:row>
      <xdr:rowOff>95250</xdr:rowOff>
    </xdr:from>
    <xdr:to>
      <xdr:col>1</xdr:col>
      <xdr:colOff>1388232</xdr:colOff>
      <xdr:row>21</xdr:row>
      <xdr:rowOff>1200150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FB54D5-678F-447A-840A-0C7C6275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1" y="6229350"/>
          <a:ext cx="109613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209551</xdr:colOff>
      <xdr:row>21</xdr:row>
      <xdr:rowOff>114300</xdr:rowOff>
    </xdr:from>
    <xdr:to>
      <xdr:col>2</xdr:col>
      <xdr:colOff>1349375</xdr:colOff>
      <xdr:row>21</xdr:row>
      <xdr:rowOff>1162050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FFA760-9523-41EA-AD96-2DFD3ADEF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478" b="91791" l="5556" r="93056">
                      <a14:foregroundMark x1="13194" y1="25373" x2="13194" y2="25373"/>
                      <a14:foregroundMark x1="5556" y1="55970" x2="5556" y2="55970"/>
                      <a14:foregroundMark x1="8333" y1="47015" x2="8333" y2="47015"/>
                      <a14:foregroundMark x1="11111" y1="42537" x2="11111" y2="42537"/>
                      <a14:foregroundMark x1="29861" y1="8955" x2="29861" y2="8955"/>
                      <a14:foregroundMark x1="49306" y1="8955" x2="49306" y2="8955"/>
                      <a14:foregroundMark x1="45139" y1="5970" x2="45139" y2="5970"/>
                      <a14:foregroundMark x1="70139" y1="12687" x2="70139" y2="12687"/>
                      <a14:foregroundMark x1="65278" y1="7463" x2="65278" y2="7463"/>
                      <a14:foregroundMark x1="48611" y1="4478" x2="48611" y2="4478"/>
                      <a14:foregroundMark x1="83333" y1="24627" x2="83333" y2="24627"/>
                      <a14:foregroundMark x1="86806" y1="44776" x2="86806" y2="44776"/>
                      <a14:foregroundMark x1="90972" y1="44776" x2="90972" y2="44776"/>
                      <a14:foregroundMark x1="64583" y1="88060" x2="64583" y2="88060"/>
                      <a14:foregroundMark x1="43750" y1="89552" x2="43750" y2="89552"/>
                      <a14:foregroundMark x1="49306" y1="92537" x2="49306" y2="92537"/>
                      <a14:foregroundMark x1="85417" y1="68657" x2="85417" y2="68657"/>
                      <a14:foregroundMark x1="88194" y1="28358" x2="88194" y2="28358"/>
                      <a14:foregroundMark x1="93056" y1="52985" x2="93056" y2="52985"/>
                    </a14:backgroundRemoval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rcRect t="-1" r="4033" b="4671"/>
        <a:stretch/>
      </xdr:blipFill>
      <xdr:spPr>
        <a:xfrm>
          <a:off x="3857626" y="6248400"/>
          <a:ext cx="1133474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21</xdr:row>
      <xdr:rowOff>95250</xdr:rowOff>
    </xdr:from>
    <xdr:to>
      <xdr:col>3</xdr:col>
      <xdr:colOff>1276350</xdr:colOff>
      <xdr:row>21</xdr:row>
      <xdr:rowOff>1158875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F089820-AC39-4794-AA5A-021E006C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412" b="96324" l="4412" r="94853">
                      <a14:foregroundMark x1="45588" y1="8088" x2="23529" y2="53676"/>
                      <a14:foregroundMark x1="43903" y1="79412" x2="51471" y2="88971"/>
                      <a14:foregroundMark x1="23529" y1="53676" x2="43903" y2="79412"/>
                      <a14:foregroundMark x1="55568" y1="79412" x2="71324" y2="42647"/>
                      <a14:foregroundMark x1="51471" y1="88971" x2="55568" y2="79412"/>
                      <a14:foregroundMark x1="71324" y1="42647" x2="48529" y2="7353"/>
                      <a14:foregroundMark x1="66912" y1="9559" x2="84559" y2="52941"/>
                      <a14:foregroundMark x1="84559" y1="52941" x2="64706" y2="13235"/>
                      <a14:foregroundMark x1="72059" y1="80147" x2="72059" y2="80147"/>
                      <a14:foregroundMark x1="83824" y1="71324" x2="83824" y2="71324"/>
                      <a14:foregroundMark x1="71324" y1="81618" x2="71324" y2="81618"/>
                      <a14:foregroundMark x1="52206" y1="93382" x2="52206" y2="93382"/>
                      <a14:foregroundMark x1="37500" y1="91912" x2="37500" y2="91912"/>
                      <a14:foregroundMark x1="13235" y1="75735" x2="13235" y2="75735"/>
                      <a14:foregroundMark x1="6618" y1="55147" x2="6618" y2="55147"/>
                      <a14:foregroundMark x1="7353" y1="27941" x2="7353" y2="27941"/>
                      <a14:foregroundMark x1="52941" y1="4412" x2="52941" y2="4412"/>
                      <a14:foregroundMark x1="86765" y1="26471" x2="86765" y2="26471"/>
                      <a14:foregroundMark x1="73529" y1="12500" x2="73529" y2="12500"/>
                      <a14:foregroundMark x1="27206" y1="8088" x2="27206" y2="8088"/>
                      <a14:foregroundMark x1="5147" y1="47059" x2="5147" y2="47059"/>
                      <a14:foregroundMark x1="88971" y1="67647" x2="88971" y2="67647"/>
                      <a14:foregroundMark x1="85294" y1="75735" x2="85294" y2="75735"/>
                      <a14:foregroundMark x1="72059" y1="85294" x2="72059" y2="85294"/>
                      <a14:foregroundMark x1="68382" y1="90441" x2="68382" y2="90441"/>
                      <a14:foregroundMark x1="76471" y1="83824" x2="76471" y2="83824"/>
                      <a14:foregroundMark x1="95588" y1="47059" x2="95588" y2="47059"/>
                      <a14:foregroundMark x1="51471" y1="96324" x2="51471" y2="96324"/>
                      <a14:backgroundMark x1="39706" y1="99265" x2="39706" y2="99265"/>
                      <a14:backgroundMark x1="43382" y1="79412" x2="43382" y2="79412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45125" y="6229350"/>
          <a:ext cx="10604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21</xdr:row>
      <xdr:rowOff>57150</xdr:rowOff>
    </xdr:from>
    <xdr:to>
      <xdr:col>5</xdr:col>
      <xdr:colOff>1368585</xdr:colOff>
      <xdr:row>21</xdr:row>
      <xdr:rowOff>1197133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833C15-BC05-4A8E-AE41-83240F26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2521" b="94958" l="4167" r="95000">
                      <a14:foregroundMark x1="13929" y1="36975" x2="10000" y2="42017"/>
                      <a14:foregroundMark x1="24998" y1="22768" x2="13929" y2="36975"/>
                      <a14:foregroundMark x1="37500" y1="6723" x2="35612" y2="9146"/>
                      <a14:foregroundMark x1="15278" y1="56303" x2="25833" y2="84874"/>
                      <a14:foregroundMark x1="10000" y1="42017" x2="15278" y2="56303"/>
                      <a14:foregroundMark x1="25833" y1="84874" x2="69167" y2="87395"/>
                      <a14:foregroundMark x1="69167" y1="87395" x2="89167" y2="46218"/>
                      <a14:foregroundMark x1="89167" y1="46218" x2="68915" y2="13398"/>
                      <a14:foregroundMark x1="46414" y1="7810" x2="38333" y2="7563"/>
                      <a14:foregroundMark x1="33333" y1="6723" x2="33333" y2="6723"/>
                      <a14:foregroundMark x1="6667" y1="32773" x2="6667" y2="32773"/>
                      <a14:foregroundMark x1="12855" y1="30252" x2="13333" y2="30252"/>
                      <a14:foregroundMark x1="79167" y1="15966" x2="79167" y2="15966"/>
                      <a14:foregroundMark x1="80833" y1="20168" x2="80833" y2="20168"/>
                      <a14:foregroundMark x1="88333" y1="29412" x2="88333" y2="29412"/>
                      <a14:foregroundMark x1="89167" y1="33613" x2="89167" y2="33613"/>
                      <a14:foregroundMark x1="95000" y1="48739" x2="95000" y2="48739"/>
                      <a14:foregroundMark x1="92500" y1="42017" x2="92500" y2="42017"/>
                      <a14:foregroundMark x1="93333" y1="56303" x2="93333" y2="56303"/>
                      <a14:foregroundMark x1="95000" y1="58824" x2="95000" y2="58824"/>
                      <a14:foregroundMark x1="87500" y1="69748" x2="87500" y2="69748"/>
                      <a14:foregroundMark x1="81667" y1="82353" x2="81667" y2="82353"/>
                      <a14:foregroundMark x1="66667" y1="91597" x2="66667" y2="91597"/>
                      <a14:foregroundMark x1="46667" y1="91597" x2="46667" y2="91597"/>
                      <a14:foregroundMark x1="33333" y1="91597" x2="33333" y2="91597"/>
                      <a14:foregroundMark x1="18333" y1="81513" x2="18333" y2="81513"/>
                      <a14:foregroundMark x1="9167" y1="67227" x2="9167" y2="67227"/>
                      <a14:foregroundMark x1="8333" y1="63025" x2="8333" y2="63025"/>
                      <a14:foregroundMark x1="5833" y1="67227" x2="5833" y2="67227"/>
                      <a14:foregroundMark x1="6667" y1="48739" x2="6667" y2="48739"/>
                      <a14:foregroundMark x1="5833" y1="55462" x2="5833" y2="55462"/>
                      <a14:foregroundMark x1="5000" y1="51261" x2="5000" y2="51261"/>
                      <a14:foregroundMark x1="5833" y1="45378" x2="5833" y2="45378"/>
                      <a14:foregroundMark x1="4167" y1="46218" x2="4167" y2="46218"/>
                      <a14:foregroundMark x1="49167" y1="95798" x2="49167" y2="95798"/>
                      <a14:foregroundMark x1="63333" y1="92437" x2="63333" y2="92437"/>
                      <a14:foregroundMark x1="62500" y1="10084" x2="62500" y2="10084"/>
                      <a14:foregroundMark x1="65833" y1="9244" x2="65833" y2="9244"/>
                      <a14:foregroundMark x1="50833" y1="6723" x2="50833" y2="6723"/>
                      <a14:foregroundMark x1="45833" y1="5042" x2="45833" y2="5042"/>
                      <a14:foregroundMark x1="51667" y1="5042" x2="51667" y2="5042"/>
                      <a14:foregroundMark x1="65833" y1="7563" x2="65833" y2="7563"/>
                      <a14:foregroundMark x1="63333" y1="9244" x2="63333" y2="9244"/>
                      <a14:foregroundMark x1="60000" y1="6723" x2="60000" y2="6723"/>
                      <a14:foregroundMark x1="18333" y1="19328" x2="18333" y2="19328"/>
                      <a14:foregroundMark x1="17500" y1="17647" x2="17500" y2="17647"/>
                      <a14:foregroundMark x1="15833" y1="17647" x2="15833" y2="17647"/>
                      <a14:foregroundMark x1="20833" y1="16807" x2="20833" y2="16807"/>
                      <a14:foregroundMark x1="50000" y1="2521" x2="50000" y2="2521"/>
                      <a14:foregroundMark x1="50000" y1="1681" x2="50000" y2="1681"/>
                      <a14:backgroundMark x1="9167" y1="6723" x2="9167" y2="6723"/>
                      <a14:backgroundMark x1="6818" y1="17647" x2="0" y2="21849"/>
                      <a14:backgroundMark x1="8181" y1="16807" x2="6818" y2="17647"/>
                      <a14:backgroundMark x1="30000" y1="3361" x2="8181" y2="16807"/>
                      <a14:backgroundMark x1="69167" y1="1681" x2="41667" y2="0"/>
                      <a14:backgroundMark x1="833" y1="31933" x2="833" y2="31933"/>
                      <a14:backgroundMark x1="833" y1="36975" x2="833" y2="36975"/>
                      <a14:backgroundMark x1="2500" y1="42017" x2="2500" y2="42017"/>
                      <a14:backgroundMark x1="2500" y1="42017" x2="2500" y2="42017"/>
                      <a14:backgroundMark x1="3333" y1="56303" x2="3333" y2="5630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26475" y="6191250"/>
          <a:ext cx="1146335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21</xdr:row>
      <xdr:rowOff>85725</xdr:rowOff>
    </xdr:from>
    <xdr:to>
      <xdr:col>2</xdr:col>
      <xdr:colOff>1311275</xdr:colOff>
      <xdr:row>21</xdr:row>
      <xdr:rowOff>1196975</xdr:rowOff>
    </xdr:to>
    <xdr:sp macro="" textlink="">
      <xdr:nvSpPr>
        <xdr:cNvPr id="11" name="AutoShape 23">
          <a:extLst>
            <a:ext uri="{FF2B5EF4-FFF2-40B4-BE49-F238E27FC236}">
              <a16:creationId xmlns:a16="http://schemas.microsoft.com/office/drawing/2014/main" id="{E360B68E-889F-49E8-A7D5-71B39FEDB584}"/>
            </a:ext>
          </a:extLst>
        </xdr:cNvPr>
        <xdr:cNvSpPr>
          <a:spLocks noChangeAspect="1" noChangeArrowheads="1"/>
        </xdr:cNvSpPr>
      </xdr:nvSpPr>
      <xdr:spPr bwMode="auto">
        <a:xfrm>
          <a:off x="3857625" y="6216650"/>
          <a:ext cx="109537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209550</xdr:colOff>
      <xdr:row>21</xdr:row>
      <xdr:rowOff>85725</xdr:rowOff>
    </xdr:from>
    <xdr:ext cx="1095375" cy="1104900"/>
    <xdr:sp macro="" textlink="">
      <xdr:nvSpPr>
        <xdr:cNvPr id="12" name="AutoShape 23">
          <a:extLst>
            <a:ext uri="{FF2B5EF4-FFF2-40B4-BE49-F238E27FC236}">
              <a16:creationId xmlns:a16="http://schemas.microsoft.com/office/drawing/2014/main" id="{234274ED-7E98-40D1-97C9-8B37F4EB8C61}"/>
            </a:ext>
          </a:extLst>
        </xdr:cNvPr>
        <xdr:cNvSpPr>
          <a:spLocks noChangeAspect="1" noChangeArrowheads="1"/>
        </xdr:cNvSpPr>
      </xdr:nvSpPr>
      <xdr:spPr bwMode="auto">
        <a:xfrm>
          <a:off x="5438775" y="6216650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209550</xdr:colOff>
      <xdr:row>21</xdr:row>
      <xdr:rowOff>85725</xdr:rowOff>
    </xdr:from>
    <xdr:ext cx="1095375" cy="1104900"/>
    <xdr:sp macro="" textlink="">
      <xdr:nvSpPr>
        <xdr:cNvPr id="13" name="AutoShape 23">
          <a:extLst>
            <a:ext uri="{FF2B5EF4-FFF2-40B4-BE49-F238E27FC236}">
              <a16:creationId xmlns:a16="http://schemas.microsoft.com/office/drawing/2014/main" id="{B2618F45-180C-4DA1-8172-552324235AA2}"/>
            </a:ext>
          </a:extLst>
        </xdr:cNvPr>
        <xdr:cNvSpPr>
          <a:spLocks noChangeAspect="1" noChangeArrowheads="1"/>
        </xdr:cNvSpPr>
      </xdr:nvSpPr>
      <xdr:spPr bwMode="auto">
        <a:xfrm>
          <a:off x="7019925" y="6216650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209550</xdr:colOff>
      <xdr:row>21</xdr:row>
      <xdr:rowOff>85725</xdr:rowOff>
    </xdr:from>
    <xdr:ext cx="1095375" cy="1104900"/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90490095-54EB-498B-B958-4291B94667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6216650"/>
          <a:ext cx="10953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209550</xdr:colOff>
      <xdr:row>21</xdr:row>
      <xdr:rowOff>85725</xdr:rowOff>
    </xdr:from>
    <xdr:to>
      <xdr:col>1</xdr:col>
      <xdr:colOff>1311275</xdr:colOff>
      <xdr:row>21</xdr:row>
      <xdr:rowOff>1196975</xdr:rowOff>
    </xdr:to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559D4585-4231-4593-9094-CD4723710AAE}"/>
            </a:ext>
          </a:extLst>
        </xdr:cNvPr>
        <xdr:cNvSpPr>
          <a:spLocks noChangeAspect="1" noChangeArrowheads="1"/>
        </xdr:cNvSpPr>
      </xdr:nvSpPr>
      <xdr:spPr bwMode="auto">
        <a:xfrm>
          <a:off x="2209800" y="6216650"/>
          <a:ext cx="109537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1771650</xdr:colOff>
      <xdr:row>6</xdr:row>
      <xdr:rowOff>9525</xdr:rowOff>
    </xdr:from>
    <xdr:to>
      <xdr:col>0</xdr:col>
      <xdr:colOff>1771651</xdr:colOff>
      <xdr:row>8</xdr:row>
      <xdr:rowOff>19050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506B2F5F-9594-47AD-8832-E4B40424FD0E}"/>
            </a:ext>
          </a:extLst>
        </xdr:cNvPr>
        <xdr:cNvCxnSpPr/>
      </xdr:nvCxnSpPr>
      <xdr:spPr>
        <a:xfrm flipH="1">
          <a:off x="1771650" y="2035175"/>
          <a:ext cx="1" cy="546100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53749</xdr:colOff>
      <xdr:row>0</xdr:row>
      <xdr:rowOff>608971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98659247-F0B8-46D7-B405-ACE5563A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95274"/>
          <a:ext cx="1800000" cy="313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15</xdr:row>
      <xdr:rowOff>95250</xdr:rowOff>
    </xdr:from>
    <xdr:to>
      <xdr:col>2</xdr:col>
      <xdr:colOff>20264</xdr:colOff>
      <xdr:row>15</xdr:row>
      <xdr:rowOff>1285875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38A0E54-D4A3-4051-9D0F-F4F3A8C2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336" b="93436" l="5030" r="92604">
                      <a14:foregroundMark x1="39941" y1="37838" x2="18334" y2="38408"/>
                      <a14:foregroundMark x1="17516" y1="40084" x2="34024" y2="43629"/>
                      <a14:foregroundMark x1="38757" y1="37066" x2="13314" y2="18147"/>
                      <a14:foregroundMark x1="13314" y1="18147" x2="37574" y2="34749"/>
                      <a14:foregroundMark x1="84320" y1="8108" x2="84320" y2="8108"/>
                      <a14:foregroundMark x1="92604" y1="34749" x2="92604" y2="34749"/>
                      <a14:foregroundMark x1="6805" y1="41313" x2="6805" y2="41313"/>
                      <a14:foregroundMark x1="10947" y1="15830" x2="10947" y2="15830"/>
                      <a14:foregroundMark x1="23077" y1="28571" x2="23077" y2="28571"/>
                      <a14:foregroundMark x1="9172" y1="18919" x2="9172" y2="18919"/>
                      <a14:foregroundMark x1="11538" y1="17375" x2="11538" y2="17375"/>
                      <a14:foregroundMark x1="12130" y1="24324" x2="12130" y2="24324"/>
                      <a14:foregroundMark x1="9763" y1="19691" x2="37278" y2="35907"/>
                      <a14:foregroundMark x1="37278" y1="35907" x2="13314" y2="17375"/>
                      <a14:foregroundMark x1="41716" y1="37838" x2="52663" y2="23552"/>
                      <a14:foregroundMark x1="50296" y1="21236" x2="50296" y2="21236"/>
                      <a14:foregroundMark x1="43491" y1="25483" x2="43491" y2="25483"/>
                      <a14:foregroundMark x1="39941" y1="30116" x2="39941" y2="30116"/>
                      <a14:foregroundMark x1="51479" y1="23552" x2="51479" y2="23552"/>
                      <a14:foregroundMark x1="53254" y1="19691" x2="53254" y2="19691"/>
                      <a14:foregroundMark x1="54438" y1="19691" x2="54438" y2="19691"/>
                      <a14:foregroundMark x1="54438" y1="19691" x2="54438" y2="19691"/>
                      <a14:foregroundMark x1="50888" y1="19691" x2="50888" y2="19691"/>
                      <a14:foregroundMark x1="8580" y1="20463" x2="8580" y2="20463"/>
                      <a14:foregroundMark x1="8580" y1="17375" x2="8580" y2="17375"/>
                      <a14:foregroundMark x1="9172" y1="15058" x2="9172" y2="15058"/>
                      <a14:foregroundMark x1="12722" y1="16602" x2="12722" y2="16602"/>
                      <a14:foregroundMark x1="40533" y1="37066" x2="13609" y2="17761"/>
                      <a14:foregroundMark x1="13609" y1="17761" x2="12722" y2="22008"/>
                      <a14:foregroundMark x1="39349" y1="37066" x2="13314" y2="15830"/>
                      <a14:foregroundMark x1="13314" y1="15830" x2="10947" y2="15830"/>
                      <a14:foregroundMark x1="42308" y1="31660" x2="12130" y2="16602"/>
                      <a14:foregroundMark x1="17456" y1="45946" x2="11538" y2="41313"/>
                      <a14:foregroundMark x1="5325" y1="42857" x2="5325" y2="42857"/>
                      <a14:foregroundMark x1="44379" y1="91120" x2="44379" y2="91120"/>
                      <a14:foregroundMark x1="50296" y1="93436" x2="50296" y2="93436"/>
                      <a14:backgroundMark x1="18639" y1="33205" x2="18639" y2="33205"/>
                      <a14:backgroundMark x1="12130" y1="33205" x2="12130" y2="33205"/>
                      <a14:backgroundMark x1="11538" y1="33205" x2="18935" y2="34749"/>
                      <a14:backgroundMark x1="17456" y1="34749" x2="20118" y2="347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95475" y="10248900"/>
          <a:ext cx="155378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8</xdr:row>
      <xdr:rowOff>114300</xdr:rowOff>
    </xdr:from>
    <xdr:to>
      <xdr:col>1</xdr:col>
      <xdr:colOff>1123949</xdr:colOff>
      <xdr:row>8</xdr:row>
      <xdr:rowOff>1934466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B1B78C-981C-43EA-B6B3-241356D6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78" b="92377" l="8989" r="89888">
                      <a14:foregroundMark x1="24719" y1="8969" x2="24719" y2="8969"/>
                      <a14:foregroundMark x1="33708" y1="8969" x2="30337" y2="18834"/>
                      <a14:foregroundMark x1="22472" y1="19731" x2="35955" y2="18834"/>
                      <a14:foregroundMark x1="51685" y1="18386" x2="51685" y2="18386"/>
                      <a14:foregroundMark x1="57303" y1="12108" x2="68539" y2="12108"/>
                      <a14:foregroundMark x1="70787" y1="7623" x2="70787" y2="7623"/>
                      <a14:foregroundMark x1="79775" y1="6726" x2="79775" y2="6726"/>
                      <a14:foregroundMark x1="85393" y1="91031" x2="70787" y2="92377"/>
                      <a14:foregroundMark x1="82022" y1="24215" x2="24719" y2="22870"/>
                      <a14:foregroundMark x1="79775" y1="25561" x2="79775" y2="25561"/>
                      <a14:foregroundMark x1="82022" y1="24215" x2="82022" y2="2421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14575" y="2905125"/>
          <a:ext cx="723899" cy="181381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9</xdr:row>
      <xdr:rowOff>190500</xdr:rowOff>
    </xdr:from>
    <xdr:to>
      <xdr:col>1</xdr:col>
      <xdr:colOff>1417805</xdr:colOff>
      <xdr:row>9</xdr:row>
      <xdr:rowOff>1181100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72E4432F-E1F0-4CBC-A883-AA6AD066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351" y="500062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</xdr:row>
      <xdr:rowOff>209550</xdr:rowOff>
    </xdr:from>
    <xdr:to>
      <xdr:col>1</xdr:col>
      <xdr:colOff>1398754</xdr:colOff>
      <xdr:row>10</xdr:row>
      <xdr:rowOff>1200150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1D5C19-7E8F-4B7B-B9A1-C87324C4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9300" y="629602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152400</xdr:rowOff>
    </xdr:from>
    <xdr:to>
      <xdr:col>1</xdr:col>
      <xdr:colOff>1459079</xdr:colOff>
      <xdr:row>13</xdr:row>
      <xdr:rowOff>1143000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D83EBA6-ECBE-457A-9014-E457F20D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6925" y="1006792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</xdr:row>
      <xdr:rowOff>171450</xdr:rowOff>
    </xdr:from>
    <xdr:to>
      <xdr:col>1</xdr:col>
      <xdr:colOff>1420979</xdr:colOff>
      <xdr:row>11</xdr:row>
      <xdr:rowOff>1162050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8505687-14E0-4829-AEDC-2AFDB9DE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825" y="753427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</xdr:row>
      <xdr:rowOff>190500</xdr:rowOff>
    </xdr:from>
    <xdr:to>
      <xdr:col>1</xdr:col>
      <xdr:colOff>1379704</xdr:colOff>
      <xdr:row>14</xdr:row>
      <xdr:rowOff>1181100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C1AEF1F-E11C-4119-82D5-462FE0AE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1138237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</xdr:row>
      <xdr:rowOff>209550</xdr:rowOff>
    </xdr:from>
    <xdr:to>
      <xdr:col>1</xdr:col>
      <xdr:colOff>1420979</xdr:colOff>
      <xdr:row>12</xdr:row>
      <xdr:rowOff>1200150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36752DA-A940-4CB6-B6A0-4872E129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89488" l="3491" r="99795">
                      <a14:foregroundMark x1="11294" y1="59299" x2="4879" y2="71930"/>
                      <a14:foregroundMark x1="6178" y1="75448" x2="19302" y2="84636"/>
                      <a14:foregroundMark x1="9856" y1="71429" x2="9856" y2="71429"/>
                      <a14:foregroundMark x1="55441" y1="9973" x2="66119" y2="1887"/>
                      <a14:foregroundMark x1="85626" y1="40162" x2="99795" y2="25606"/>
                      <a14:foregroundMark x1="55441" y1="89218" x2="38398" y2="85175"/>
                      <a14:foregroundMark x1="9856" y1="71159" x2="9856" y2="71159"/>
                      <a14:foregroundMark x1="9856" y1="69811" x2="10883" y2="78706"/>
                      <a14:backgroundMark x1="3901" y1="72776" x2="3901" y2="72776"/>
                      <a14:backgroundMark x1="4723" y1="73315" x2="4723" y2="73315"/>
                      <a14:backgroundMark x1="4723" y1="74663" x2="4723" y2="74663"/>
                      <a14:backgroundMark x1="4723" y1="74124" x2="4723" y2="74124"/>
                      <a14:backgroundMark x1="4928" y1="73854" x2="4928" y2="73854"/>
                      <a14:backgroundMark x1="4928" y1="72776" x2="4928" y2="72776"/>
                      <a14:backgroundMark x1="4723" y1="72776" x2="5339" y2="75741"/>
                      <a14:backgroundMark x1="6366" y1="76550" x2="2669" y2="698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825" y="8848725"/>
          <a:ext cx="1300329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234949</xdr:colOff>
      <xdr:row>0</xdr:row>
      <xdr:rowOff>292099</xdr:rowOff>
    </xdr:from>
    <xdr:to>
      <xdr:col>1</xdr:col>
      <xdr:colOff>50574</xdr:colOff>
      <xdr:row>0</xdr:row>
      <xdr:rowOff>608971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30519FD-91C9-4B5C-B57B-0AED4648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95274"/>
          <a:ext cx="1803175" cy="313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234949</xdr:colOff>
      <xdr:row>0</xdr:row>
      <xdr:rowOff>292099</xdr:rowOff>
    </xdr:from>
    <xdr:to>
      <xdr:col>1</xdr:col>
      <xdr:colOff>50574</xdr:colOff>
      <xdr:row>0</xdr:row>
      <xdr:rowOff>608971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F8B6D9C-DA12-4E3E-A36A-0C882861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49" y="292099"/>
          <a:ext cx="1720625" cy="316872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</xdr:row>
      <xdr:rowOff>47625</xdr:rowOff>
    </xdr:from>
    <xdr:to>
      <xdr:col>7</xdr:col>
      <xdr:colOff>1600200</xdr:colOff>
      <xdr:row>16</xdr:row>
      <xdr:rowOff>785416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CD32A3E-FBB9-9105-0205-B9F18ADE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047875"/>
          <a:ext cx="10687050" cy="482401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247652</xdr:colOff>
      <xdr:row>17</xdr:row>
      <xdr:rowOff>428625</xdr:rowOff>
    </xdr:from>
    <xdr:to>
      <xdr:col>7</xdr:col>
      <xdr:colOff>1577780</xdr:colOff>
      <xdr:row>21</xdr:row>
      <xdr:rowOff>467653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8F9F8EF-C9EC-7D47-1D78-6181D31F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2" y="7791450"/>
          <a:ext cx="10759878" cy="514442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22</xdr:row>
      <xdr:rowOff>190499</xdr:rowOff>
    </xdr:from>
    <xdr:to>
      <xdr:col>7</xdr:col>
      <xdr:colOff>1815297</xdr:colOff>
      <xdr:row>52</xdr:row>
      <xdr:rowOff>180975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84EC0AF-6E03-28A9-FA9C-2CF755B35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6179"/>
        <a:stretch/>
      </xdr:blipFill>
      <xdr:spPr>
        <a:xfrm>
          <a:off x="2028826" y="14058899"/>
          <a:ext cx="11121221" cy="594360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56</xdr:row>
      <xdr:rowOff>44739</xdr:rowOff>
    </xdr:from>
    <xdr:to>
      <xdr:col>7</xdr:col>
      <xdr:colOff>1581150</xdr:colOff>
      <xdr:row>82</xdr:row>
      <xdr:rowOff>58034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FB82D955-1BFE-9DF4-DDA1-91E6DF30D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28826" y="21028314"/>
          <a:ext cx="10887074" cy="49662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129</xdr:row>
      <xdr:rowOff>66675</xdr:rowOff>
    </xdr:from>
    <xdr:to>
      <xdr:col>6</xdr:col>
      <xdr:colOff>302314</xdr:colOff>
      <xdr:row>130</xdr:row>
      <xdr:rowOff>74958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97B72B9E-9FE3-48BE-B508-685C305E4560}"/>
            </a:ext>
          </a:extLst>
        </xdr:cNvPr>
        <xdr:cNvSpPr/>
      </xdr:nvSpPr>
      <xdr:spPr>
        <a:xfrm>
          <a:off x="4838700" y="26193750"/>
          <a:ext cx="1369114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314325</xdr:colOff>
      <xdr:row>124</xdr:row>
      <xdr:rowOff>123825</xdr:rowOff>
    </xdr:from>
    <xdr:to>
      <xdr:col>6</xdr:col>
      <xdr:colOff>435664</xdr:colOff>
      <xdr:row>125</xdr:row>
      <xdr:rowOff>132108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962DA393-EE4A-4F71-AE2A-1225D4066BF8}"/>
            </a:ext>
          </a:extLst>
        </xdr:cNvPr>
        <xdr:cNvSpPr/>
      </xdr:nvSpPr>
      <xdr:spPr>
        <a:xfrm>
          <a:off x="4962525" y="25288875"/>
          <a:ext cx="1378639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266700</xdr:colOff>
      <xdr:row>119</xdr:row>
      <xdr:rowOff>171450</xdr:rowOff>
    </xdr:from>
    <xdr:to>
      <xdr:col>6</xdr:col>
      <xdr:colOff>407089</xdr:colOff>
      <xdr:row>120</xdr:row>
      <xdr:rowOff>179733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8C2B2377-32F8-4F4F-AB8E-FD501FB7BE14}"/>
            </a:ext>
          </a:extLst>
        </xdr:cNvPr>
        <xdr:cNvSpPr/>
      </xdr:nvSpPr>
      <xdr:spPr>
        <a:xfrm>
          <a:off x="4914900" y="24374475"/>
          <a:ext cx="1397689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228600</xdr:colOff>
      <xdr:row>116</xdr:row>
      <xdr:rowOff>47625</xdr:rowOff>
    </xdr:from>
    <xdr:to>
      <xdr:col>6</xdr:col>
      <xdr:colOff>397564</xdr:colOff>
      <xdr:row>117</xdr:row>
      <xdr:rowOff>55908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F3A117C3-0405-418C-82FC-CD28A05B3C94}"/>
            </a:ext>
          </a:extLst>
        </xdr:cNvPr>
        <xdr:cNvSpPr/>
      </xdr:nvSpPr>
      <xdr:spPr>
        <a:xfrm>
          <a:off x="4876800" y="23669625"/>
          <a:ext cx="1426264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257175</xdr:colOff>
      <xdr:row>111</xdr:row>
      <xdr:rowOff>171450</xdr:rowOff>
    </xdr:from>
    <xdr:to>
      <xdr:col>6</xdr:col>
      <xdr:colOff>454714</xdr:colOff>
      <xdr:row>112</xdr:row>
      <xdr:rowOff>179733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id="{F82F1826-C38E-44A0-9104-D0556F70C84E}"/>
            </a:ext>
          </a:extLst>
        </xdr:cNvPr>
        <xdr:cNvSpPr/>
      </xdr:nvSpPr>
      <xdr:spPr>
        <a:xfrm>
          <a:off x="4905375" y="22831425"/>
          <a:ext cx="1454839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333375</xdr:colOff>
      <xdr:row>88</xdr:row>
      <xdr:rowOff>19050</xdr:rowOff>
    </xdr:from>
    <xdr:to>
      <xdr:col>5</xdr:col>
      <xdr:colOff>802585</xdr:colOff>
      <xdr:row>89</xdr:row>
      <xdr:rowOff>27333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5344DBF4-64DC-4900-BB58-AF54DAA2DDB2}"/>
            </a:ext>
          </a:extLst>
        </xdr:cNvPr>
        <xdr:cNvSpPr/>
      </xdr:nvSpPr>
      <xdr:spPr>
        <a:xfrm>
          <a:off x="4981575" y="17630775"/>
          <a:ext cx="469210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314325</xdr:colOff>
      <xdr:row>100</xdr:row>
      <xdr:rowOff>0</xdr:rowOff>
    </xdr:from>
    <xdr:to>
      <xdr:col>5</xdr:col>
      <xdr:colOff>783535</xdr:colOff>
      <xdr:row>101</xdr:row>
      <xdr:rowOff>8283</xdr:rowOff>
    </xdr:to>
    <xdr:sp macro="" textlink="">
      <xdr:nvSpPr>
        <xdr:cNvPr id="9" name="Flèche : droite 8">
          <a:extLst>
            <a:ext uri="{FF2B5EF4-FFF2-40B4-BE49-F238E27FC236}">
              <a16:creationId xmlns:a16="http://schemas.microsoft.com/office/drawing/2014/main" id="{7C127530-C658-443F-9984-A8C7C1432314}"/>
            </a:ext>
          </a:extLst>
        </xdr:cNvPr>
        <xdr:cNvSpPr/>
      </xdr:nvSpPr>
      <xdr:spPr>
        <a:xfrm>
          <a:off x="4962525" y="19907250"/>
          <a:ext cx="469210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323850</xdr:colOff>
      <xdr:row>79</xdr:row>
      <xdr:rowOff>0</xdr:rowOff>
    </xdr:from>
    <xdr:to>
      <xdr:col>5</xdr:col>
      <xdr:colOff>878785</xdr:colOff>
      <xdr:row>80</xdr:row>
      <xdr:rowOff>8283</xdr:rowOff>
    </xdr:to>
    <xdr:sp macro="" textlink="">
      <xdr:nvSpPr>
        <xdr:cNvPr id="10" name="Flèche : droite 9">
          <a:extLst>
            <a:ext uri="{FF2B5EF4-FFF2-40B4-BE49-F238E27FC236}">
              <a16:creationId xmlns:a16="http://schemas.microsoft.com/office/drawing/2014/main" id="{B0F7A036-2844-4CA0-B373-A26536FB75F2}"/>
            </a:ext>
          </a:extLst>
        </xdr:cNvPr>
        <xdr:cNvSpPr/>
      </xdr:nvSpPr>
      <xdr:spPr>
        <a:xfrm>
          <a:off x="4972050" y="15887700"/>
          <a:ext cx="554935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361950</xdr:colOff>
      <xdr:row>69</xdr:row>
      <xdr:rowOff>9525</xdr:rowOff>
    </xdr:from>
    <xdr:to>
      <xdr:col>5</xdr:col>
      <xdr:colOff>916885</xdr:colOff>
      <xdr:row>70</xdr:row>
      <xdr:rowOff>17808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77277F01-DCF7-49F8-ADF8-B057BA02D3BC}"/>
            </a:ext>
          </a:extLst>
        </xdr:cNvPr>
        <xdr:cNvSpPr/>
      </xdr:nvSpPr>
      <xdr:spPr>
        <a:xfrm>
          <a:off x="5010150" y="13982700"/>
          <a:ext cx="554935" cy="198783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42</xdr:row>
      <xdr:rowOff>142875</xdr:rowOff>
    </xdr:from>
    <xdr:to>
      <xdr:col>5</xdr:col>
      <xdr:colOff>552450</xdr:colOff>
      <xdr:row>43</xdr:row>
      <xdr:rowOff>95250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id="{A38D55C6-08C1-459F-A05C-E89E9B2DEA1A}"/>
            </a:ext>
          </a:extLst>
        </xdr:cNvPr>
        <xdr:cNvSpPr/>
      </xdr:nvSpPr>
      <xdr:spPr>
        <a:xfrm>
          <a:off x="5429250" y="12439650"/>
          <a:ext cx="1304925" cy="142875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638175</xdr:colOff>
      <xdr:row>38</xdr:row>
      <xdr:rowOff>104775</xdr:rowOff>
    </xdr:from>
    <xdr:to>
      <xdr:col>5</xdr:col>
      <xdr:colOff>514350</xdr:colOff>
      <xdr:row>38</xdr:row>
      <xdr:rowOff>247650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ACA04D11-E2BE-4B64-BE9B-51158447376E}"/>
            </a:ext>
          </a:extLst>
        </xdr:cNvPr>
        <xdr:cNvSpPr/>
      </xdr:nvSpPr>
      <xdr:spPr>
        <a:xfrm>
          <a:off x="5391150" y="11258550"/>
          <a:ext cx="1304925" cy="142875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704850</xdr:colOff>
      <xdr:row>11</xdr:row>
      <xdr:rowOff>19050</xdr:rowOff>
    </xdr:from>
    <xdr:to>
      <xdr:col>5</xdr:col>
      <xdr:colOff>581025</xdr:colOff>
      <xdr:row>11</xdr:row>
      <xdr:rowOff>171450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652BF81B-C759-483E-B5CA-5DD642D8B27B}"/>
            </a:ext>
          </a:extLst>
        </xdr:cNvPr>
        <xdr:cNvSpPr/>
      </xdr:nvSpPr>
      <xdr:spPr>
        <a:xfrm>
          <a:off x="5457825" y="4962525"/>
          <a:ext cx="1304925" cy="1524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stetto, Jerome" id="{F0C74CD0-AB1E-4300-BCF6-36AAC984BBCD}" userId="S::jerome.guistetto@manitowoc.com::b2519f32-ba76-4275-a6bc-ac63b3970374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03-31T14:24:24.38" personId="{F0C74CD0-AB1E-4300-BCF6-36AAC984BBCD}" id="{98FBF3AA-0D03-458A-84D0-81AD328DBC4F}">
    <text>Pour mémoire</text>
  </threadedComment>
  <threadedComment ref="F2" dT="2019-03-27T16:07:16.02" personId="{F0C74CD0-AB1E-4300-BCF6-36AAC984BBCD}" id="{B0D8C117-B363-4F5E-A4F1-8824D18303CD}">
    <text>Niveau a partir du quel démarrer :
1 : 17x7 Standard	
2 : 24x7 Premium	
3 : 24 x 7 K Performer	
4 : High Performer E	
5 : High Performer S
9 : Ne pas afficher de cable</text>
  </threadedComment>
  <threadedComment ref="A3" dT="2020-01-31T08:26:13.63" personId="{F0C74CD0-AB1E-4300-BCF6-36AAC984BBCD}" id="{3942FA9F-D5CF-44B0-96C8-141ABF09D925}">
    <text>Nombre de grue GMA dans la base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" dT="2021-03-31T14:25:47.56" personId="{F0C74CD0-AB1E-4300-BCF6-36AAC984BBCD}" id="{A107D6E0-48A1-46D2-97C5-412DBE8B6973}">
    <text>Ne pas remplir ce champs</text>
  </threadedComment>
  <threadedComment ref="E2" dT="2019-03-27T16:07:16.02" personId="{F0C74CD0-AB1E-4300-BCF6-36AAC984BBCD}" id="{52607B34-AE29-47D8-BD01-72D6ADB1045C}">
    <text>Niveau de qualité a partir du quel démarrer :
1 : 17x7 Standard	
2 : 24x7 Standard	
3 : 24 x 7 K Premium	
4 : High Performer E	
5 : High Performer S
6 : Dans le cas de cable spécifique non standard (report au catalogue)
7 : HIGH PERF S -&gt;Terminaison avec manchon</text>
  </threadedComment>
  <threadedComment ref="G2" dT="2021-03-31T14:28:29.47" personId="{F0C74CD0-AB1E-4300-BCF6-36AAC984BBCD}" id="{E142021E-4450-45A5-8307-00F280AF7563}">
    <text>Si pas d'hauteur GH mettre : "PGH"
Ceci va renvoyer l'utilisateur vers manitowoc si la configuration n'est pas standard</text>
  </threadedComment>
  <threadedComment ref="G2" dT="2022-10-06T11:58:34.33" personId="{F0C74CD0-AB1E-4300-BCF6-36AAC984BBCD}" id="{B2B30646-DF41-45D4-BBBE-931D145F1C66}" parentId="{E142021E-4450-45A5-8307-00F280AF7563}">
    <text>Suite nouvelle directive.
A partir de ce jour, cette hauteur est calculée pour atteindre 400m de cable. 
Pour toutes les grues : Des les 400m de cable atteind, seul le cable High performer mini sera proposé.</text>
  </threadedComment>
  <threadedComment ref="I2" dT="2019-06-13T07:56:27.42" personId="{F0C74CD0-AB1E-4300-BCF6-36AAC984BBCD}" id="{4CCB3C31-79E9-4712-9E8A-88DAAADB5C26}">
    <text>Niveau de qualité a partir du quel démarrer :
6 : Cable 6 torons non compacté mini
9 : Cable 9 torons ou 6 torons compacté mini
HIGH : seulement le cable le HIGH 
PERF
NC : Nous contacter</text>
  </threadedComment>
  <threadedComment ref="A3" dT="2020-01-31T08:25:55.37" personId="{F0C74CD0-AB1E-4300-BCF6-36AAC984BBCD}" id="{395CC74E-4F56-4104-8D73-0BDE23F2DE56}">
    <text>Nombre de grue GME dans la base</text>
  </threadedComment>
  <threadedComment ref="E74" dT="2020-12-21T08:34:21.95" personId="{F0C74CD0-AB1E-4300-BCF6-36AAC984BBCD}" id="{EFBDB859-38F4-4738-99C1-BD7BD037C2F2}">
    <text>7 : High perf S -&gt; terminaison avec manchon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" dT="2019-03-27T16:07:16.02" personId="{F0C74CD0-AB1E-4300-BCF6-36AAC984BBCD}" id="{F6E80215-2AA9-4102-9DF8-708CF9E7932F}">
    <text>Niveau a partir du quel démarrer :
1 : 17x7 Standard	
2 : 24x7 Standard	
3 : 24 x 7 K Premium	
4 : High Performer E	
5 : High Performer S
6 : Voir Catalogue</text>
  </threadedComment>
  <threadedComment ref="D2" dT="2022-02-10T13:39:39.63" personId="{F0C74CD0-AB1E-4300-BCF6-36AAC984BBCD}" id="{0081769B-4FC7-4228-82B4-83710D0D6AB7}">
    <text>Haute d'autonomie = hauteur de l'articulation de flèche</text>
  </threadedComment>
  <threadedComment ref="D2" dT="2022-02-11T13:20:43.74" personId="{F0C74CD0-AB1E-4300-BCF6-36AAC984BBCD}" id="{EAC69788-F3A8-4CEE-AA9D-C4BC4AFAC557}" parentId="{0081769B-4FC7-4228-82B4-83710D0D6AB7}">
    <text>=&gt; Utiliser dans les datas FEM la hauteur du pylône en flèche mini.</text>
  </threadedComment>
  <threadedComment ref="A3" dT="2020-01-31T08:25:55.37" personId="{F0C74CD0-AB1E-4300-BCF6-36AAC984BBCD}" id="{BABAC9E9-442B-4DC0-A275-C451F0C3EAFC}">
    <text>Nombre de grue MR dans la base</text>
  </threadedComment>
  <threadedComment ref="D3" dT="2023-11-15T15:16:06.77" personId="{F0C74CD0-AB1E-4300-BCF6-36AAC984BBCD}" id="{EDFB79C2-F199-461D-99BA-CCC0ED6F2192}">
    <text>Valeur max (m) de la longueur du câble en qualité PREMIUM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manitowoccranes.com/fr-FR/mtw-direct/manitowoc-direct/potain/parts-suppor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manitowoccranes.com/fr-FR/mtw-direct/manitowoc-direct/potain/parts-sup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4F31-7081-4F43-BA75-C643091EA8FD}">
  <sheetPr codeName="Feuil1"/>
  <dimension ref="A1:I39"/>
  <sheetViews>
    <sheetView showGridLines="0" showRowColHeaders="0" workbookViewId="0">
      <selection activeCell="F1" sqref="F1"/>
    </sheetView>
  </sheetViews>
  <sheetFormatPr baseColWidth="10" defaultRowHeight="15" x14ac:dyDescent="0.2"/>
  <cols>
    <col min="1" max="1" width="28.5" customWidth="1"/>
    <col min="2" max="2" width="18" bestFit="1" customWidth="1"/>
    <col min="3" max="3" width="28.5" customWidth="1"/>
    <col min="4" max="4" width="18.1640625" customWidth="1"/>
    <col min="5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9" t="str">
        <f>Language!B62</f>
        <v>Spare Parts</v>
      </c>
      <c r="D1" s="145"/>
      <c r="E1" s="46"/>
      <c r="F1" s="48" t="s">
        <v>114</v>
      </c>
      <c r="G1" s="347" t="s">
        <v>111</v>
      </c>
      <c r="H1" s="347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59"/>
      <c r="B3" s="52"/>
      <c r="C3" s="50"/>
      <c r="E3" s="51"/>
      <c r="F3" s="42"/>
      <c r="G3" s="44"/>
      <c r="H3" s="44"/>
    </row>
    <row r="5" spans="1:9" ht="30" customHeight="1" x14ac:dyDescent="0.3">
      <c r="B5" s="59" t="s">
        <v>118</v>
      </c>
      <c r="C5" s="69" t="str">
        <f>Language!$B$6</f>
        <v>GME wire ropes</v>
      </c>
    </row>
    <row r="6" spans="1:9" ht="18" customHeight="1" x14ac:dyDescent="0.3">
      <c r="C6" s="70"/>
    </row>
    <row r="7" spans="1:9" ht="30" customHeight="1" x14ac:dyDescent="0.3">
      <c r="B7" s="59" t="s">
        <v>118</v>
      </c>
      <c r="C7" s="69" t="str">
        <f>Language!$B$7</f>
        <v>MR wire ropes</v>
      </c>
      <c r="E7" s="287"/>
      <c r="F7" s="286"/>
    </row>
    <row r="8" spans="1:9" ht="18" customHeight="1" x14ac:dyDescent="0.3">
      <c r="C8" s="70"/>
    </row>
    <row r="9" spans="1:9" ht="30" customHeight="1" x14ac:dyDescent="0.3">
      <c r="B9" s="59" t="s">
        <v>118</v>
      </c>
      <c r="C9" s="69" t="str">
        <f>Language!$B$8</f>
        <v>GMA wire ropes</v>
      </c>
    </row>
    <row r="11" spans="1:9" ht="28.5" customHeight="1" x14ac:dyDescent="0.3">
      <c r="B11" s="59" t="s">
        <v>118</v>
      </c>
      <c r="C11" s="69" t="str">
        <f>Language!$B$46</f>
        <v>Tools</v>
      </c>
    </row>
    <row r="13" spans="1:9" ht="28.5" customHeight="1" x14ac:dyDescent="0.3">
      <c r="B13" s="59" t="s">
        <v>118</v>
      </c>
      <c r="C13" s="69" t="str">
        <f>Language!$B$43</f>
        <v xml:space="preserve">Wire rope service guide </v>
      </c>
    </row>
    <row r="14" spans="1:9" ht="26.25" customHeight="1" x14ac:dyDescent="0.2">
      <c r="C14" s="141"/>
      <c r="D14" s="141"/>
    </row>
    <row r="15" spans="1:9" ht="26.25" customHeight="1" x14ac:dyDescent="0.2"/>
    <row r="16" spans="1:9" ht="15" customHeight="1" x14ac:dyDescent="0.2">
      <c r="B16" s="138" t="str">
        <f>Language!$B$15</f>
        <v>Trolley rope</v>
      </c>
      <c r="C16" s="348" t="str">
        <f>Language!B41</f>
        <v>About trolley rope, since April 2019, our range of cranes is delivered with 9 strands “HIGH PERFORMER” ropes. 
This is a stronger construction, which significantly increases their service life.
GME range : 
For whole GME range, you can use the 6 strands “standard or premium” ropes.
GMA range : 
In case of the cranes are systematically equipped with 9-strand HIGH PERFORMER ropes, it is forbidden to use a 6-strand "Standard or Premium" ropes. 
Please check your crane manual, if you have a question please contact your spare parts representative to : europetower.parts@manitowoc.com</v>
      </c>
      <c r="D16" s="348"/>
      <c r="E16" s="348"/>
      <c r="F16" s="348"/>
      <c r="G16" s="348"/>
    </row>
    <row r="17" spans="2:7" x14ac:dyDescent="0.2">
      <c r="C17" s="348"/>
      <c r="D17" s="348"/>
      <c r="E17" s="348"/>
      <c r="F17" s="348"/>
      <c r="G17" s="348"/>
    </row>
    <row r="18" spans="2:7" x14ac:dyDescent="0.2">
      <c r="C18" s="348"/>
      <c r="D18" s="348"/>
      <c r="E18" s="348"/>
      <c r="F18" s="348"/>
      <c r="G18" s="348"/>
    </row>
    <row r="19" spans="2:7" x14ac:dyDescent="0.2">
      <c r="C19" s="348"/>
      <c r="D19" s="348"/>
      <c r="E19" s="348"/>
      <c r="F19" s="348"/>
      <c r="G19" s="348"/>
    </row>
    <row r="20" spans="2:7" x14ac:dyDescent="0.2">
      <c r="C20" s="348"/>
      <c r="D20" s="348"/>
      <c r="E20" s="348"/>
      <c r="F20" s="348"/>
      <c r="G20" s="348"/>
    </row>
    <row r="21" spans="2:7" x14ac:dyDescent="0.2">
      <c r="C21" s="348"/>
      <c r="D21" s="348"/>
      <c r="E21" s="348"/>
      <c r="F21" s="348"/>
      <c r="G21" s="348"/>
    </row>
    <row r="22" spans="2:7" x14ac:dyDescent="0.2">
      <c r="C22" s="348"/>
      <c r="D22" s="348"/>
      <c r="E22" s="348"/>
      <c r="F22" s="348"/>
      <c r="G22" s="348"/>
    </row>
    <row r="23" spans="2:7" x14ac:dyDescent="0.2">
      <c r="C23" s="348"/>
      <c r="D23" s="348"/>
      <c r="E23" s="348"/>
      <c r="F23" s="348"/>
      <c r="G23" s="348"/>
    </row>
    <row r="24" spans="2:7" x14ac:dyDescent="0.2">
      <c r="C24" s="348"/>
      <c r="D24" s="348"/>
      <c r="E24" s="348"/>
      <c r="F24" s="348"/>
      <c r="G24" s="348"/>
    </row>
    <row r="25" spans="2:7" x14ac:dyDescent="0.2">
      <c r="C25" s="348"/>
      <c r="D25" s="348"/>
      <c r="E25" s="348"/>
      <c r="F25" s="348"/>
      <c r="G25" s="348"/>
    </row>
    <row r="26" spans="2:7" x14ac:dyDescent="0.2">
      <c r="C26" s="348"/>
      <c r="D26" s="348"/>
      <c r="E26" s="348"/>
      <c r="F26" s="348"/>
      <c r="G26" s="348"/>
    </row>
    <row r="27" spans="2:7" x14ac:dyDescent="0.2">
      <c r="C27" s="348"/>
      <c r="D27" s="348"/>
      <c r="E27" s="348"/>
      <c r="F27" s="348"/>
      <c r="G27" s="348"/>
    </row>
    <row r="29" spans="2:7" ht="16" x14ac:dyDescent="0.2">
      <c r="B29" s="138" t="str">
        <f>Language!$B$42</f>
        <v>GPX3 order</v>
      </c>
      <c r="C29" s="349" t="str">
        <f>Language!$B$44</f>
        <v>In case of order many wires rope on GPX3, you have to order : 
     - For 1 rope : xx meters + PN = 1 control line.
     - For 2 ropes: 2 X  xx mètres + PN = 2 control lines.
     - etc…</v>
      </c>
      <c r="D29" s="350"/>
      <c r="E29" s="350"/>
      <c r="F29" s="350"/>
      <c r="G29" s="350"/>
    </row>
    <row r="30" spans="2:7" x14ac:dyDescent="0.2">
      <c r="C30" s="350"/>
      <c r="D30" s="350"/>
      <c r="E30" s="350"/>
      <c r="F30" s="350"/>
      <c r="G30" s="350"/>
    </row>
    <row r="31" spans="2:7" x14ac:dyDescent="0.2">
      <c r="C31" s="350"/>
      <c r="D31" s="350"/>
      <c r="E31" s="350"/>
      <c r="F31" s="350"/>
      <c r="G31" s="350"/>
    </row>
    <row r="32" spans="2:7" x14ac:dyDescent="0.2">
      <c r="C32" s="350"/>
      <c r="D32" s="350"/>
      <c r="E32" s="350"/>
      <c r="F32" s="350"/>
      <c r="G32" s="350"/>
    </row>
    <row r="33" spans="3:7" x14ac:dyDescent="0.2">
      <c r="C33" s="350"/>
      <c r="D33" s="350"/>
      <c r="E33" s="350"/>
      <c r="F33" s="350"/>
      <c r="G33" s="350"/>
    </row>
    <row r="34" spans="3:7" x14ac:dyDescent="0.2">
      <c r="C34" s="350"/>
      <c r="D34" s="350"/>
      <c r="E34" s="350"/>
      <c r="F34" s="350"/>
      <c r="G34" s="350"/>
    </row>
    <row r="39" spans="3:7" ht="16" x14ac:dyDescent="0.2">
      <c r="C39" s="143" t="str">
        <f>Language!$B$45</f>
        <v>Number of cranes in this database :</v>
      </c>
      <c r="D39" s="144"/>
      <c r="E39" s="143">
        <f>GME!A3+GMA!A3+MR!A3</f>
        <v>140</v>
      </c>
    </row>
  </sheetData>
  <sheetProtection algorithmName="SHA-512" hashValue="JcXZ9SXRfZBfYu6+YyK543RPzF8iB/e5EV25n5sDwjDMEztzkmyd0cTsEfxJZjBJhz2Zq2fufE4cmiK2TsPyjQ==" saltValue="9G+9lygEo8cpE1feOKZQTA==" spinCount="100000" sheet="1" objects="1" scenarios="1" insertColumns="0" insertRows="0" insertHyperlinks="0" deleteColumns="0" deleteRows="0"/>
  <mergeCells count="3">
    <mergeCell ref="G1:H1"/>
    <mergeCell ref="C16:G27"/>
    <mergeCell ref="C29:G34"/>
  </mergeCells>
  <dataValidations count="1">
    <dataValidation errorStyle="warning" allowBlank="1" showInputMessage="1" showErrorMessage="1" errorTitle="ERROR" sqref="F2:F3" xr:uid="{EE9FA9B6-7A4D-4F5F-8BD5-CAD00DA399C9}"/>
  </dataValidations>
  <hyperlinks>
    <hyperlink ref="C5" location="'Cables métal GME'!C5" display="'Cables métal GME'!C5" xr:uid="{3390D977-03A3-479F-B3CA-382B907E8AA0}"/>
    <hyperlink ref="C9" location="'Cables métal GMA'!C5" display="'Cables métal GMA'!C5" xr:uid="{B4F80F33-AA4B-4DAD-9698-98ACD221BF9F}"/>
    <hyperlink ref="C11" location="Outils!C5" display="Outils!C5" xr:uid="{0DDC4992-5F4D-435A-8735-69B82AA7FBAE}"/>
    <hyperlink ref="C7" location="'Cables métal MR'!C5" display="'Cables métal MR'!C5" xr:uid="{3654499A-8144-4DFA-9AF9-C734369E79C3}"/>
    <hyperlink ref="C13" location="'Guide service des câbles '!A1" display="'Guide service des câbles '!A1" xr:uid="{38FB3932-3F76-4082-A7C0-CC1CBCEAC763}"/>
  </hyperlink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RROR" xr:uid="{F7AFF53C-6944-47FA-AD01-11D9FEDB17E1}">
          <x14:formula1>
            <xm:f>Language!$C$4:$D$4</xm:f>
          </x14:formula1>
          <xm:sqref>F1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7DC1-F8BD-4998-9020-83A01115FE43}">
  <sheetPr>
    <pageSetUpPr fitToPage="1"/>
  </sheetPr>
  <dimension ref="A1:I85"/>
  <sheetViews>
    <sheetView showGridLines="0" showRowColHeaders="0" zoomScaleNormal="100" workbookViewId="0">
      <selection activeCell="A3" sqref="A3"/>
    </sheetView>
  </sheetViews>
  <sheetFormatPr baseColWidth="10" defaultRowHeight="15" x14ac:dyDescent="0.2"/>
  <cols>
    <col min="1" max="1" width="28.5" customWidth="1"/>
    <col min="2" max="6" width="22.5" customWidth="1"/>
    <col min="7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8" t="str">
        <f>Language!B62</f>
        <v>Spare Parts</v>
      </c>
      <c r="D1" s="45"/>
      <c r="E1" s="46"/>
      <c r="F1" s="48" t="str">
        <f>MENU!F1</f>
        <v>EN</v>
      </c>
      <c r="G1" s="356" t="s">
        <v>111</v>
      </c>
      <c r="H1" s="356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106" t="s">
        <v>176</v>
      </c>
      <c r="B3" s="52" t="str">
        <f>Language!$B$43</f>
        <v xml:space="preserve">Wire rope service guide </v>
      </c>
      <c r="C3" s="50"/>
      <c r="E3" s="51"/>
      <c r="F3" s="42"/>
      <c r="G3" s="44"/>
      <c r="H3" s="44"/>
    </row>
    <row r="4" spans="1:9" x14ac:dyDescent="0.2">
      <c r="A4" s="106" t="s">
        <v>178</v>
      </c>
    </row>
    <row r="5" spans="1:9" x14ac:dyDescent="0.2">
      <c r="A5" s="106" t="s">
        <v>177</v>
      </c>
    </row>
    <row r="6" spans="1:9" x14ac:dyDescent="0.2">
      <c r="A6" s="106"/>
    </row>
    <row r="7" spans="1:9" x14ac:dyDescent="0.2">
      <c r="A7" s="106"/>
    </row>
    <row r="8" spans="1:9" x14ac:dyDescent="0.2">
      <c r="A8" s="106"/>
    </row>
    <row r="9" spans="1:9" ht="16" thickBot="1" x14ac:dyDescent="0.25">
      <c r="A9" s="106"/>
    </row>
    <row r="10" spans="1:9" ht="28.5" customHeight="1" thickBot="1" x14ac:dyDescent="0.25">
      <c r="A10" s="106"/>
      <c r="B10" s="429" t="str">
        <f>Language!$B$66</f>
        <v>How to access the wire rope service guide</v>
      </c>
      <c r="C10" s="430"/>
      <c r="D10" s="430"/>
      <c r="E10" s="430"/>
      <c r="F10" s="430"/>
      <c r="G10" s="430"/>
      <c r="H10" s="431"/>
    </row>
    <row r="11" spans="1:9" ht="18" customHeight="1" x14ac:dyDescent="0.2">
      <c r="A11" s="106"/>
      <c r="B11" s="420"/>
      <c r="C11" s="421"/>
      <c r="D11" s="421"/>
      <c r="E11" s="421"/>
      <c r="F11" s="421"/>
      <c r="G11" s="421"/>
      <c r="H11" s="422"/>
    </row>
    <row r="12" spans="1:9" ht="18" customHeight="1" x14ac:dyDescent="0.2">
      <c r="A12" s="106"/>
      <c r="B12" s="423"/>
      <c r="C12" s="424"/>
      <c r="D12" s="424"/>
      <c r="E12" s="424"/>
      <c r="F12" s="424"/>
      <c r="G12" s="424"/>
      <c r="H12" s="425"/>
    </row>
    <row r="13" spans="1:9" ht="21" customHeight="1" x14ac:dyDescent="0.2">
      <c r="B13" s="423"/>
      <c r="C13" s="424"/>
      <c r="D13" s="424"/>
      <c r="E13" s="424"/>
      <c r="F13" s="424"/>
      <c r="G13" s="424"/>
      <c r="H13" s="425"/>
    </row>
    <row r="14" spans="1:9" ht="23.25" customHeight="1" x14ac:dyDescent="0.2">
      <c r="B14" s="423"/>
      <c r="C14" s="424"/>
      <c r="D14" s="424"/>
      <c r="E14" s="424"/>
      <c r="F14" s="424"/>
      <c r="G14" s="424"/>
      <c r="H14" s="425"/>
    </row>
    <row r="15" spans="1:9" ht="159" customHeight="1" x14ac:dyDescent="0.2">
      <c r="B15" s="423"/>
      <c r="C15" s="424"/>
      <c r="D15" s="424"/>
      <c r="E15" s="424"/>
      <c r="F15" s="424"/>
      <c r="G15" s="424"/>
      <c r="H15" s="425"/>
    </row>
    <row r="16" spans="1:9" ht="100.5" customHeight="1" x14ac:dyDescent="0.2">
      <c r="B16" s="423"/>
      <c r="C16" s="424"/>
      <c r="D16" s="424"/>
      <c r="E16" s="424"/>
      <c r="F16" s="424"/>
      <c r="G16" s="424"/>
      <c r="H16" s="425"/>
    </row>
    <row r="17" spans="1:8" ht="100.5" customHeight="1" thickBot="1" x14ac:dyDescent="0.25">
      <c r="B17" s="426"/>
      <c r="C17" s="427"/>
      <c r="D17" s="427"/>
      <c r="E17" s="427"/>
      <c r="F17" s="427"/>
      <c r="G17" s="427"/>
      <c r="H17" s="428"/>
    </row>
    <row r="18" spans="1:8" ht="100.5" customHeight="1" x14ac:dyDescent="0.2">
      <c r="B18" s="420"/>
      <c r="C18" s="421"/>
      <c r="D18" s="421"/>
      <c r="E18" s="421"/>
      <c r="F18" s="421"/>
      <c r="G18" s="421"/>
      <c r="H18" s="422"/>
    </row>
    <row r="19" spans="1:8" ht="100.5" customHeight="1" x14ac:dyDescent="0.2">
      <c r="B19" s="423"/>
      <c r="C19" s="424"/>
      <c r="D19" s="424"/>
      <c r="E19" s="424"/>
      <c r="F19" s="424"/>
      <c r="G19" s="424"/>
      <c r="H19" s="425"/>
    </row>
    <row r="20" spans="1:8" ht="100.5" customHeight="1" x14ac:dyDescent="0.2">
      <c r="B20" s="423"/>
      <c r="C20" s="424"/>
      <c r="D20" s="424"/>
      <c r="E20" s="424"/>
      <c r="F20" s="424"/>
      <c r="G20" s="424"/>
      <c r="H20" s="425"/>
    </row>
    <row r="21" spans="1:8" ht="100.5" customHeight="1" x14ac:dyDescent="0.2">
      <c r="B21" s="423"/>
      <c r="C21" s="424"/>
      <c r="D21" s="424"/>
      <c r="E21" s="424"/>
      <c r="F21" s="424"/>
      <c r="G21" s="424"/>
      <c r="H21" s="425"/>
    </row>
    <row r="22" spans="1:8" ht="110.25" customHeight="1" thickBot="1" x14ac:dyDescent="0.25">
      <c r="B22" s="426"/>
      <c r="C22" s="427"/>
      <c r="D22" s="427"/>
      <c r="E22" s="427"/>
      <c r="F22" s="427"/>
      <c r="G22" s="427"/>
      <c r="H22" s="428"/>
    </row>
    <row r="23" spans="1:8" ht="28" customHeight="1" x14ac:dyDescent="0.2">
      <c r="A23" s="106"/>
      <c r="B23" s="420"/>
      <c r="C23" s="421"/>
      <c r="D23" s="421"/>
      <c r="E23" s="421"/>
      <c r="F23" s="421"/>
      <c r="G23" s="421"/>
      <c r="H23" s="422"/>
    </row>
    <row r="24" spans="1:8" x14ac:dyDescent="0.2">
      <c r="B24" s="423"/>
      <c r="C24" s="424"/>
      <c r="D24" s="424"/>
      <c r="E24" s="424"/>
      <c r="F24" s="424"/>
      <c r="G24" s="424"/>
      <c r="H24" s="425"/>
    </row>
    <row r="25" spans="1:8" x14ac:dyDescent="0.2">
      <c r="B25" s="423"/>
      <c r="C25" s="424"/>
      <c r="D25" s="424"/>
      <c r="E25" s="424"/>
      <c r="F25" s="424"/>
      <c r="G25" s="424"/>
      <c r="H25" s="425"/>
    </row>
    <row r="26" spans="1:8" ht="21" customHeight="1" x14ac:dyDescent="0.2">
      <c r="B26" s="423"/>
      <c r="C26" s="424"/>
      <c r="D26" s="424"/>
      <c r="E26" s="424"/>
      <c r="F26" s="424"/>
      <c r="G26" s="424"/>
      <c r="H26" s="425"/>
    </row>
    <row r="27" spans="1:8" x14ac:dyDescent="0.2">
      <c r="B27" s="423"/>
      <c r="C27" s="424"/>
      <c r="D27" s="424"/>
      <c r="E27" s="424"/>
      <c r="F27" s="424"/>
      <c r="G27" s="424"/>
      <c r="H27" s="425"/>
    </row>
    <row r="28" spans="1:8" x14ac:dyDescent="0.2">
      <c r="B28" s="423"/>
      <c r="C28" s="424"/>
      <c r="D28" s="424"/>
      <c r="E28" s="424"/>
      <c r="F28" s="424"/>
      <c r="G28" s="424"/>
      <c r="H28" s="425"/>
    </row>
    <row r="29" spans="1:8" x14ac:dyDescent="0.2">
      <c r="B29" s="423"/>
      <c r="C29" s="424"/>
      <c r="D29" s="424"/>
      <c r="E29" s="424"/>
      <c r="F29" s="424"/>
      <c r="G29" s="424"/>
      <c r="H29" s="425"/>
    </row>
    <row r="30" spans="1:8" x14ac:dyDescent="0.2">
      <c r="B30" s="423"/>
      <c r="C30" s="424"/>
      <c r="D30" s="424"/>
      <c r="E30" s="424"/>
      <c r="F30" s="424"/>
      <c r="G30" s="424"/>
      <c r="H30" s="425"/>
    </row>
    <row r="31" spans="1:8" x14ac:dyDescent="0.2">
      <c r="B31" s="423"/>
      <c r="C31" s="424"/>
      <c r="D31" s="424"/>
      <c r="E31" s="424"/>
      <c r="F31" s="424"/>
      <c r="G31" s="424"/>
      <c r="H31" s="425"/>
    </row>
    <row r="32" spans="1:8" x14ac:dyDescent="0.2">
      <c r="B32" s="423"/>
      <c r="C32" s="424"/>
      <c r="D32" s="424"/>
      <c r="E32" s="424"/>
      <c r="F32" s="424"/>
      <c r="G32" s="424"/>
      <c r="H32" s="425"/>
    </row>
    <row r="33" spans="2:8" x14ac:dyDescent="0.2">
      <c r="B33" s="423"/>
      <c r="C33" s="424"/>
      <c r="D33" s="424"/>
      <c r="E33" s="424"/>
      <c r="F33" s="424"/>
      <c r="G33" s="424"/>
      <c r="H33" s="425"/>
    </row>
    <row r="34" spans="2:8" x14ac:dyDescent="0.2">
      <c r="B34" s="423"/>
      <c r="C34" s="424"/>
      <c r="D34" s="424"/>
      <c r="E34" s="424"/>
      <c r="F34" s="424"/>
      <c r="G34" s="424"/>
      <c r="H34" s="425"/>
    </row>
    <row r="35" spans="2:8" x14ac:dyDescent="0.2">
      <c r="B35" s="423"/>
      <c r="C35" s="424"/>
      <c r="D35" s="424"/>
      <c r="E35" s="424"/>
      <c r="F35" s="424"/>
      <c r="G35" s="424"/>
      <c r="H35" s="425"/>
    </row>
    <row r="36" spans="2:8" x14ac:dyDescent="0.2">
      <c r="B36" s="423"/>
      <c r="C36" s="424"/>
      <c r="D36" s="424"/>
      <c r="E36" s="424"/>
      <c r="F36" s="424"/>
      <c r="G36" s="424"/>
      <c r="H36" s="425"/>
    </row>
    <row r="37" spans="2:8" x14ac:dyDescent="0.2">
      <c r="B37" s="423"/>
      <c r="C37" s="424"/>
      <c r="D37" s="424"/>
      <c r="E37" s="424"/>
      <c r="F37" s="424"/>
      <c r="G37" s="424"/>
      <c r="H37" s="425"/>
    </row>
    <row r="38" spans="2:8" x14ac:dyDescent="0.2">
      <c r="B38" s="423"/>
      <c r="C38" s="424"/>
      <c r="D38" s="424"/>
      <c r="E38" s="424"/>
      <c r="F38" s="424"/>
      <c r="G38" s="424"/>
      <c r="H38" s="425"/>
    </row>
    <row r="39" spans="2:8" x14ac:dyDescent="0.2">
      <c r="B39" s="423"/>
      <c r="C39" s="424"/>
      <c r="D39" s="424"/>
      <c r="E39" s="424"/>
      <c r="F39" s="424"/>
      <c r="G39" s="424"/>
      <c r="H39" s="425"/>
    </row>
    <row r="40" spans="2:8" x14ac:dyDescent="0.2">
      <c r="B40" s="423"/>
      <c r="C40" s="424"/>
      <c r="D40" s="424"/>
      <c r="E40" s="424"/>
      <c r="F40" s="424"/>
      <c r="G40" s="424"/>
      <c r="H40" s="425"/>
    </row>
    <row r="41" spans="2:8" x14ac:dyDescent="0.2">
      <c r="B41" s="423"/>
      <c r="C41" s="424"/>
      <c r="D41" s="424"/>
      <c r="E41" s="424"/>
      <c r="F41" s="424"/>
      <c r="G41" s="424"/>
      <c r="H41" s="425"/>
    </row>
    <row r="42" spans="2:8" x14ac:dyDescent="0.2">
      <c r="B42" s="423"/>
      <c r="C42" s="424"/>
      <c r="D42" s="424"/>
      <c r="E42" s="424"/>
      <c r="F42" s="424"/>
      <c r="G42" s="424"/>
      <c r="H42" s="425"/>
    </row>
    <row r="43" spans="2:8" x14ac:dyDescent="0.2">
      <c r="B43" s="423"/>
      <c r="C43" s="424"/>
      <c r="D43" s="424"/>
      <c r="E43" s="424"/>
      <c r="F43" s="424"/>
      <c r="G43" s="424"/>
      <c r="H43" s="425"/>
    </row>
    <row r="44" spans="2:8" x14ac:dyDescent="0.2">
      <c r="B44" s="423"/>
      <c r="C44" s="424"/>
      <c r="D44" s="424"/>
      <c r="E44" s="424"/>
      <c r="F44" s="424"/>
      <c r="G44" s="424"/>
      <c r="H44" s="425"/>
    </row>
    <row r="45" spans="2:8" x14ac:dyDescent="0.2">
      <c r="B45" s="423"/>
      <c r="C45" s="424"/>
      <c r="D45" s="424"/>
      <c r="E45" s="424"/>
      <c r="F45" s="424"/>
      <c r="G45" s="424"/>
      <c r="H45" s="425"/>
    </row>
    <row r="46" spans="2:8" x14ac:dyDescent="0.2">
      <c r="B46" s="423"/>
      <c r="C46" s="424"/>
      <c r="D46" s="424"/>
      <c r="E46" s="424"/>
      <c r="F46" s="424"/>
      <c r="G46" s="424"/>
      <c r="H46" s="425"/>
    </row>
    <row r="47" spans="2:8" x14ac:dyDescent="0.2">
      <c r="B47" s="423"/>
      <c r="C47" s="424"/>
      <c r="D47" s="424"/>
      <c r="E47" s="424"/>
      <c r="F47" s="424"/>
      <c r="G47" s="424"/>
      <c r="H47" s="425"/>
    </row>
    <row r="48" spans="2:8" x14ac:dyDescent="0.2">
      <c r="B48" s="423"/>
      <c r="C48" s="424"/>
      <c r="D48" s="424"/>
      <c r="E48" s="424"/>
      <c r="F48" s="424"/>
      <c r="G48" s="424"/>
      <c r="H48" s="425"/>
    </row>
    <row r="49" spans="2:8" x14ac:dyDescent="0.2">
      <c r="B49" s="423"/>
      <c r="C49" s="424"/>
      <c r="D49" s="424"/>
      <c r="E49" s="424"/>
      <c r="F49" s="424"/>
      <c r="G49" s="424"/>
      <c r="H49" s="425"/>
    </row>
    <row r="50" spans="2:8" x14ac:dyDescent="0.2">
      <c r="B50" s="423"/>
      <c r="C50" s="424"/>
      <c r="D50" s="424"/>
      <c r="E50" s="424"/>
      <c r="F50" s="424"/>
      <c r="G50" s="424"/>
      <c r="H50" s="425"/>
    </row>
    <row r="51" spans="2:8" x14ac:dyDescent="0.2">
      <c r="B51" s="423"/>
      <c r="C51" s="424"/>
      <c r="D51" s="424"/>
      <c r="E51" s="424"/>
      <c r="F51" s="424"/>
      <c r="G51" s="424"/>
      <c r="H51" s="425"/>
    </row>
    <row r="52" spans="2:8" x14ac:dyDescent="0.2">
      <c r="B52" s="423"/>
      <c r="C52" s="424"/>
      <c r="D52" s="424"/>
      <c r="E52" s="424"/>
      <c r="F52" s="424"/>
      <c r="G52" s="424"/>
      <c r="H52" s="425"/>
    </row>
    <row r="53" spans="2:8" x14ac:dyDescent="0.2">
      <c r="B53" s="423"/>
      <c r="C53" s="424"/>
      <c r="D53" s="424"/>
      <c r="E53" s="424"/>
      <c r="F53" s="424"/>
      <c r="G53" s="424"/>
      <c r="H53" s="425"/>
    </row>
    <row r="54" spans="2:8" ht="16" thickBot="1" x14ac:dyDescent="0.25">
      <c r="B54" s="426"/>
      <c r="C54" s="427"/>
      <c r="D54" s="427"/>
      <c r="E54" s="427"/>
      <c r="F54" s="427"/>
      <c r="G54" s="427"/>
      <c r="H54" s="428"/>
    </row>
    <row r="55" spans="2:8" x14ac:dyDescent="0.2">
      <c r="B55" s="420"/>
      <c r="C55" s="421"/>
      <c r="D55" s="421"/>
      <c r="E55" s="421"/>
      <c r="F55" s="421"/>
      <c r="G55" s="421"/>
      <c r="H55" s="422"/>
    </row>
    <row r="56" spans="2:8" x14ac:dyDescent="0.2">
      <c r="B56" s="423"/>
      <c r="C56" s="424"/>
      <c r="D56" s="424"/>
      <c r="E56" s="424"/>
      <c r="F56" s="424"/>
      <c r="G56" s="424"/>
      <c r="H56" s="425"/>
    </row>
    <row r="57" spans="2:8" x14ac:dyDescent="0.2">
      <c r="B57" s="423"/>
      <c r="C57" s="424"/>
      <c r="D57" s="424"/>
      <c r="E57" s="424"/>
      <c r="F57" s="424"/>
      <c r="G57" s="424"/>
      <c r="H57" s="425"/>
    </row>
    <row r="58" spans="2:8" x14ac:dyDescent="0.2">
      <c r="B58" s="423"/>
      <c r="C58" s="424"/>
      <c r="D58" s="424"/>
      <c r="E58" s="424"/>
      <c r="F58" s="424"/>
      <c r="G58" s="424"/>
      <c r="H58" s="425"/>
    </row>
    <row r="59" spans="2:8" x14ac:dyDescent="0.2">
      <c r="B59" s="423"/>
      <c r="C59" s="424"/>
      <c r="D59" s="424"/>
      <c r="E59" s="424"/>
      <c r="F59" s="424"/>
      <c r="G59" s="424"/>
      <c r="H59" s="425"/>
    </row>
    <row r="60" spans="2:8" x14ac:dyDescent="0.2">
      <c r="B60" s="423"/>
      <c r="C60" s="424"/>
      <c r="D60" s="424"/>
      <c r="E60" s="424"/>
      <c r="F60" s="424"/>
      <c r="G60" s="424"/>
      <c r="H60" s="425"/>
    </row>
    <row r="61" spans="2:8" x14ac:dyDescent="0.2">
      <c r="B61" s="423"/>
      <c r="C61" s="424"/>
      <c r="D61" s="424"/>
      <c r="E61" s="424"/>
      <c r="F61" s="424"/>
      <c r="G61" s="424"/>
      <c r="H61" s="425"/>
    </row>
    <row r="62" spans="2:8" x14ac:dyDescent="0.2">
      <c r="B62" s="423"/>
      <c r="C62" s="424"/>
      <c r="D62" s="424"/>
      <c r="E62" s="424"/>
      <c r="F62" s="424"/>
      <c r="G62" s="424"/>
      <c r="H62" s="425"/>
    </row>
    <row r="63" spans="2:8" x14ac:dyDescent="0.2">
      <c r="B63" s="423"/>
      <c r="C63" s="424"/>
      <c r="D63" s="424"/>
      <c r="E63" s="424"/>
      <c r="F63" s="424"/>
      <c r="G63" s="424"/>
      <c r="H63" s="425"/>
    </row>
    <row r="64" spans="2:8" x14ac:dyDescent="0.2">
      <c r="B64" s="423"/>
      <c r="C64" s="424"/>
      <c r="D64" s="424"/>
      <c r="E64" s="424"/>
      <c r="F64" s="424"/>
      <c r="G64" s="424"/>
      <c r="H64" s="425"/>
    </row>
    <row r="65" spans="2:8" x14ac:dyDescent="0.2">
      <c r="B65" s="423"/>
      <c r="C65" s="424"/>
      <c r="D65" s="424"/>
      <c r="E65" s="424"/>
      <c r="F65" s="424"/>
      <c r="G65" s="424"/>
      <c r="H65" s="425"/>
    </row>
    <row r="66" spans="2:8" x14ac:dyDescent="0.2">
      <c r="B66" s="423"/>
      <c r="C66" s="424"/>
      <c r="D66" s="424"/>
      <c r="E66" s="424"/>
      <c r="F66" s="424"/>
      <c r="G66" s="424"/>
      <c r="H66" s="425"/>
    </row>
    <row r="67" spans="2:8" x14ac:dyDescent="0.2">
      <c r="B67" s="423"/>
      <c r="C67" s="424"/>
      <c r="D67" s="424"/>
      <c r="E67" s="424"/>
      <c r="F67" s="424"/>
      <c r="G67" s="424"/>
      <c r="H67" s="425"/>
    </row>
    <row r="68" spans="2:8" x14ac:dyDescent="0.2">
      <c r="B68" s="423"/>
      <c r="C68" s="424"/>
      <c r="D68" s="424"/>
      <c r="E68" s="424"/>
      <c r="F68" s="424"/>
      <c r="G68" s="424"/>
      <c r="H68" s="425"/>
    </row>
    <row r="69" spans="2:8" x14ac:dyDescent="0.2">
      <c r="B69" s="423"/>
      <c r="C69" s="424"/>
      <c r="D69" s="424"/>
      <c r="E69" s="424"/>
      <c r="F69" s="424"/>
      <c r="G69" s="424"/>
      <c r="H69" s="425"/>
    </row>
    <row r="70" spans="2:8" x14ac:dyDescent="0.2">
      <c r="B70" s="423"/>
      <c r="C70" s="424"/>
      <c r="D70" s="424"/>
      <c r="E70" s="424"/>
      <c r="F70" s="424"/>
      <c r="G70" s="424"/>
      <c r="H70" s="425"/>
    </row>
    <row r="71" spans="2:8" x14ac:dyDescent="0.2">
      <c r="B71" s="423"/>
      <c r="C71" s="424"/>
      <c r="D71" s="424"/>
      <c r="E71" s="424"/>
      <c r="F71" s="424"/>
      <c r="G71" s="424"/>
      <c r="H71" s="425"/>
    </row>
    <row r="72" spans="2:8" x14ac:dyDescent="0.2">
      <c r="B72" s="423"/>
      <c r="C72" s="424"/>
      <c r="D72" s="424"/>
      <c r="E72" s="424"/>
      <c r="F72" s="424"/>
      <c r="G72" s="424"/>
      <c r="H72" s="425"/>
    </row>
    <row r="73" spans="2:8" x14ac:dyDescent="0.2">
      <c r="B73" s="423"/>
      <c r="C73" s="424"/>
      <c r="D73" s="424"/>
      <c r="E73" s="424"/>
      <c r="F73" s="424"/>
      <c r="G73" s="424"/>
      <c r="H73" s="425"/>
    </row>
    <row r="74" spans="2:8" x14ac:dyDescent="0.2">
      <c r="B74" s="423"/>
      <c r="C74" s="424"/>
      <c r="D74" s="424"/>
      <c r="E74" s="424"/>
      <c r="F74" s="424"/>
      <c r="G74" s="424"/>
      <c r="H74" s="425"/>
    </row>
    <row r="75" spans="2:8" x14ac:dyDescent="0.2">
      <c r="B75" s="423"/>
      <c r="C75" s="424"/>
      <c r="D75" s="424"/>
      <c r="E75" s="424"/>
      <c r="F75" s="424"/>
      <c r="G75" s="424"/>
      <c r="H75" s="425"/>
    </row>
    <row r="76" spans="2:8" x14ac:dyDescent="0.2">
      <c r="B76" s="423"/>
      <c r="C76" s="424"/>
      <c r="D76" s="424"/>
      <c r="E76" s="424"/>
      <c r="F76" s="424"/>
      <c r="G76" s="424"/>
      <c r="H76" s="425"/>
    </row>
    <row r="77" spans="2:8" x14ac:dyDescent="0.2">
      <c r="B77" s="423"/>
      <c r="C77" s="424"/>
      <c r="D77" s="424"/>
      <c r="E77" s="424"/>
      <c r="F77" s="424"/>
      <c r="G77" s="424"/>
      <c r="H77" s="425"/>
    </row>
    <row r="78" spans="2:8" x14ac:dyDescent="0.2">
      <c r="B78" s="423"/>
      <c r="C78" s="424"/>
      <c r="D78" s="424"/>
      <c r="E78" s="424"/>
      <c r="F78" s="424"/>
      <c r="G78" s="424"/>
      <c r="H78" s="425"/>
    </row>
    <row r="79" spans="2:8" x14ac:dyDescent="0.2">
      <c r="B79" s="423"/>
      <c r="C79" s="424"/>
      <c r="D79" s="424"/>
      <c r="E79" s="424"/>
      <c r="F79" s="424"/>
      <c r="G79" s="424"/>
      <c r="H79" s="425"/>
    </row>
    <row r="80" spans="2:8" x14ac:dyDescent="0.2">
      <c r="B80" s="423"/>
      <c r="C80" s="424"/>
      <c r="D80" s="424"/>
      <c r="E80" s="424"/>
      <c r="F80" s="424"/>
      <c r="G80" s="424"/>
      <c r="H80" s="425"/>
    </row>
    <row r="81" spans="2:8" x14ac:dyDescent="0.2">
      <c r="B81" s="423"/>
      <c r="C81" s="424"/>
      <c r="D81" s="424"/>
      <c r="E81" s="424"/>
      <c r="F81" s="424"/>
      <c r="G81" s="424"/>
      <c r="H81" s="425"/>
    </row>
    <row r="82" spans="2:8" x14ac:dyDescent="0.2">
      <c r="B82" s="423"/>
      <c r="C82" s="424"/>
      <c r="D82" s="424"/>
      <c r="E82" s="424"/>
      <c r="F82" s="424"/>
      <c r="G82" s="424"/>
      <c r="H82" s="425"/>
    </row>
    <row r="83" spans="2:8" x14ac:dyDescent="0.2">
      <c r="B83" s="423"/>
      <c r="C83" s="424"/>
      <c r="D83" s="424"/>
      <c r="E83" s="424"/>
      <c r="F83" s="424"/>
      <c r="G83" s="424"/>
      <c r="H83" s="425"/>
    </row>
    <row r="84" spans="2:8" x14ac:dyDescent="0.2">
      <c r="B84" s="423"/>
      <c r="C84" s="424"/>
      <c r="D84" s="424"/>
      <c r="E84" s="424"/>
      <c r="F84" s="424"/>
      <c r="G84" s="424"/>
      <c r="H84" s="425"/>
    </row>
    <row r="85" spans="2:8" ht="16" thickBot="1" x14ac:dyDescent="0.25">
      <c r="B85" s="426"/>
      <c r="C85" s="427"/>
      <c r="D85" s="427"/>
      <c r="E85" s="427"/>
      <c r="F85" s="427"/>
      <c r="G85" s="427"/>
      <c r="H85" s="428"/>
    </row>
  </sheetData>
  <sheetProtection algorithmName="SHA-512" hashValue="MbHAloKEK1C/XPjSBVT6Q4qgNcXGd8qGSiwNQezPLmyqZoLFLll3Or0qA6H79+GGykI6+mWKwnzjt0vfFgCIRQ==" saltValue="e4+ilGopUT6RKlwiOt6RnA==" spinCount="100000" sheet="1" objects="1" scenarios="1" formatCells="0" formatColumns="0" formatRows="0" insertColumns="0" insertRows="0" insertHyperlinks="0" deleteColumns="0" deleteRows="0"/>
  <mergeCells count="6">
    <mergeCell ref="G1:H1"/>
    <mergeCell ref="B23:H54"/>
    <mergeCell ref="B55:H85"/>
    <mergeCell ref="B10:H10"/>
    <mergeCell ref="B11:H17"/>
    <mergeCell ref="B18:H22"/>
  </mergeCells>
  <dataValidations count="1">
    <dataValidation errorStyle="warning" allowBlank="1" showInputMessage="1" showErrorMessage="1" errorTitle="ERROR" sqref="F1:F3" xr:uid="{2155AF79-95E3-4994-A553-F10DD8B304CD}"/>
  </dataValidations>
  <hyperlinks>
    <hyperlink ref="F1" location="MENU!F1" display="FR" xr:uid="{0A6012F3-67B2-4769-81FF-D28A850ADCA9}"/>
    <hyperlink ref="A3" location="MENU!A1" display="&gt;&gt;" xr:uid="{294A1B65-AB53-4E50-B611-3787662954D2}"/>
    <hyperlink ref="A4" location="'Cables métal GME'!C5" display="GME &lt;&lt;" xr:uid="{CE033369-9F0E-4D57-A2FB-7FB2212EF5C9}"/>
    <hyperlink ref="A5" location="'Cables métal GMA'!C5" display="GMA &lt;&lt;" xr:uid="{A0F6CDA2-4E51-47B8-B197-EF230D2EC24D}"/>
  </hyperlinks>
  <pageMargins left="0.7" right="0.7" top="0.75" bottom="0.75" header="0.3" footer="0.3"/>
  <pageSetup scale="4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EFEC-14FA-412C-A321-AD96693B2468}">
  <sheetPr codeName="Feuil8"/>
  <dimension ref="A1:AG160"/>
  <sheetViews>
    <sheetView zoomScaleNormal="100" workbookViewId="0">
      <pane ySplit="4" topLeftCell="A10" activePane="bottomLeft" state="frozen"/>
      <selection pane="bottomLeft" activeCell="C29" sqref="C29"/>
    </sheetView>
  </sheetViews>
  <sheetFormatPr baseColWidth="10" defaultRowHeight="15" x14ac:dyDescent="0.2"/>
  <cols>
    <col min="1" max="1" width="17.1640625" style="1" bestFit="1" customWidth="1"/>
    <col min="2" max="2" width="14.5" style="128" hidden="1" customWidth="1"/>
    <col min="3" max="3" width="11.83203125" style="1" customWidth="1"/>
    <col min="4" max="4" width="5.1640625" style="124" hidden="1" customWidth="1"/>
    <col min="5" max="5" width="17.5" style="1" customWidth="1"/>
    <col min="6" max="6" width="14.5" style="1" bestFit="1" customWidth="1"/>
    <col min="7" max="7" width="20.5" style="2" customWidth="1"/>
    <col min="8" max="8" width="14.5" style="1" customWidth="1"/>
    <col min="9" max="9" width="17.5" style="1" bestFit="1" customWidth="1"/>
    <col min="10" max="10" width="17.5" style="1" customWidth="1"/>
    <col min="11" max="11" width="11.5" style="1" customWidth="1"/>
    <col min="12" max="12" width="13.33203125" style="1" customWidth="1"/>
    <col min="13" max="13" width="11.33203125" style="135" hidden="1" customWidth="1"/>
    <col min="14" max="14" width="6.5" style="1" customWidth="1"/>
    <col min="15" max="19" width="5.83203125" style="1" customWidth="1"/>
    <col min="20" max="20" width="8.5" style="1" bestFit="1" customWidth="1"/>
    <col min="21" max="21" width="8.5" style="1" customWidth="1"/>
    <col min="22" max="30" width="5.83203125" style="1" customWidth="1"/>
    <col min="31" max="31" width="5.5" style="1" customWidth="1"/>
    <col min="32" max="32" width="11.5" style="117"/>
  </cols>
  <sheetData>
    <row r="1" spans="1:33" ht="27.75" customHeight="1" thickTop="1" thickBot="1" x14ac:dyDescent="0.25">
      <c r="A1" s="108" t="s">
        <v>0</v>
      </c>
      <c r="B1" s="125" t="s">
        <v>22</v>
      </c>
      <c r="C1" s="9" t="s">
        <v>4</v>
      </c>
      <c r="D1" s="121" t="s">
        <v>82</v>
      </c>
      <c r="E1" s="22" t="s">
        <v>81</v>
      </c>
      <c r="F1" s="22" t="s">
        <v>3</v>
      </c>
      <c r="G1" s="8" t="s">
        <v>63</v>
      </c>
      <c r="H1" s="10" t="s">
        <v>68</v>
      </c>
      <c r="I1" s="10" t="s">
        <v>109</v>
      </c>
      <c r="J1" s="436" t="s">
        <v>164</v>
      </c>
      <c r="K1" s="437"/>
      <c r="L1" s="86" t="s">
        <v>131</v>
      </c>
      <c r="M1" s="130" t="s">
        <v>23</v>
      </c>
      <c r="N1" s="188"/>
      <c r="O1" s="432" t="s">
        <v>152</v>
      </c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4"/>
      <c r="AD1" s="434"/>
      <c r="AE1" s="435"/>
      <c r="AF1" s="118"/>
    </row>
    <row r="2" spans="1:33" ht="17" thickBot="1" x14ac:dyDescent="0.25">
      <c r="A2" s="93"/>
      <c r="B2" s="126"/>
      <c r="C2" s="66"/>
      <c r="D2" s="122"/>
      <c r="E2" s="66" t="s">
        <v>137</v>
      </c>
      <c r="F2" s="67"/>
      <c r="G2" s="65" t="s">
        <v>137</v>
      </c>
      <c r="H2" s="87"/>
      <c r="I2" s="87" t="s">
        <v>137</v>
      </c>
      <c r="J2" s="89" t="s">
        <v>163</v>
      </c>
      <c r="K2" s="99" t="s">
        <v>153</v>
      </c>
      <c r="L2" s="88"/>
      <c r="M2" s="131"/>
      <c r="N2" s="196" t="str">
        <f>IF(VLOOKUP('Cables métal GME'!$C$6,GME!$L$6:$AF$1031,N4,0)&lt;&gt;"",GME!N3,"")</f>
        <v/>
      </c>
      <c r="O2" s="197">
        <f>IF(VLOOKUP('Cables métal GME'!$C$6,GME!$L$6:$AF$1031,O4,0)&lt;&gt;"",GME!O3,"")</f>
        <v>25</v>
      </c>
      <c r="P2" s="197">
        <f>IF(VLOOKUP('Cables métal GME'!$C$6,GME!$L$6:$AF$1031,P4,0)&lt;&gt;"",GME!P3,"")</f>
        <v>30</v>
      </c>
      <c r="Q2" s="197">
        <f>IF(VLOOKUP('Cables métal GME'!$C$6,GME!$L$6:$AF$1031,Q4,0)&lt;&gt;"",GME!Q3,"")</f>
        <v>35</v>
      </c>
      <c r="R2" s="197">
        <f>IF(VLOOKUP('Cables métal GME'!$C$6,GME!$L$6:$AF$1031,R4,0)&lt;&gt;"",GME!R3,"")</f>
        <v>40</v>
      </c>
      <c r="S2" s="197" t="str">
        <f>IF(VLOOKUP('Cables métal GME'!$C$6,GME!$L$6:$AF$1031,S4,0)&lt;&gt;"",GME!S3,"")</f>
        <v/>
      </c>
      <c r="T2" s="197">
        <f>IF(VLOOKUP('Cables métal GME'!$C$6,GME!$L$6:$AF$1031,T4,0)&lt;&gt;"",GME!T3,"")</f>
        <v>45</v>
      </c>
      <c r="U2" s="197" t="str">
        <f>IF(VLOOKUP('Cables métal GME'!$C$6,GME!$L$6:$AF$1031,U4,0)&lt;&gt;"",GME!U3,"")</f>
        <v/>
      </c>
      <c r="V2" s="197" t="str">
        <f>IF(VLOOKUP('Cables métal GME'!$C$6,GME!$L$6:$AF$1031,V4,0)&lt;&gt;"",GME!V3,"")</f>
        <v/>
      </c>
      <c r="W2" s="197">
        <f>IF(VLOOKUP('Cables métal GME'!$C$6,GME!$L$6:$AF$1031,W4,0)&lt;&gt;"",GME!W3,"")</f>
        <v>50</v>
      </c>
      <c r="X2" s="197" t="str">
        <f>IF(VLOOKUP('Cables métal GME'!$C$6,GME!$L$6:$AF$1031,X4,0)&lt;&gt;"",GME!X3,"")</f>
        <v/>
      </c>
      <c r="Y2" s="197" t="str">
        <f>IF(VLOOKUP('Cables métal GME'!$C$6,GME!$L$6:$AF$1031,Y4,0)&lt;&gt;"",GME!Y3,"")</f>
        <v/>
      </c>
      <c r="Z2" s="197">
        <f>IF(VLOOKUP('Cables métal GME'!$C$6,GME!$L$6:$AF$1031,Z4,0)&lt;&gt;"",GME!Z3,"")</f>
        <v>55</v>
      </c>
      <c r="AA2" s="197" t="str">
        <f>IF(VLOOKUP('Cables métal GME'!$C$6,GME!$L$6:$AF$1031,AA4,0)&lt;&gt;"",GME!AA3,"")</f>
        <v/>
      </c>
      <c r="AB2" s="197">
        <f>IF(VLOOKUP('Cables métal GME'!$C$6,GME!$L$6:$AF$1031,AB4,0)&lt;&gt;"",GME!AB3,"")</f>
        <v>60</v>
      </c>
      <c r="AC2" s="197">
        <f>IF(VLOOKUP('Cables métal GME'!$C$6,GME!$L$6:$AF$1031,AC4,0)&lt;&gt;"",GME!AC3,"")</f>
        <v>65</v>
      </c>
      <c r="AD2" s="197" t="str">
        <f>IF(VLOOKUP('Cables métal GME'!$C$6,GME!$L$6:$AF$1031,AD4,0)&lt;&gt;"",GME!AD3,"")</f>
        <v/>
      </c>
      <c r="AE2" s="197" t="str">
        <f>IF(VLOOKUP('Cables métal GME'!$C$6,GME!$L$6:$AF$1031,AE4,0)&lt;&gt;"",GME!AE3,"")</f>
        <v/>
      </c>
      <c r="AF2" s="198" t="str">
        <f>IF(VLOOKUP('Cables métal GME'!$C$6,GME!$L$6:$AF$1031,AF4,0)&lt;&gt;"",GME!AF3,"")</f>
        <v/>
      </c>
    </row>
    <row r="3" spans="1:33" ht="17" thickBot="1" x14ac:dyDescent="0.25">
      <c r="A3" s="142">
        <f>COUNTA(A6:A1029)</f>
        <v>75</v>
      </c>
      <c r="B3" s="127"/>
      <c r="C3" s="4"/>
      <c r="D3" s="123"/>
      <c r="E3" s="4"/>
      <c r="F3" s="4"/>
      <c r="G3" s="5"/>
      <c r="H3" s="4"/>
      <c r="I3" s="4"/>
      <c r="J3" s="4"/>
      <c r="K3" s="4"/>
      <c r="L3" s="1" t="s">
        <v>108</v>
      </c>
      <c r="M3" s="132" t="s">
        <v>189</v>
      </c>
      <c r="N3" s="6">
        <v>20</v>
      </c>
      <c r="O3" s="6">
        <v>25</v>
      </c>
      <c r="P3" s="6">
        <v>30</v>
      </c>
      <c r="Q3" s="6">
        <v>35</v>
      </c>
      <c r="R3" s="6">
        <v>40</v>
      </c>
      <c r="S3" s="6">
        <v>41</v>
      </c>
      <c r="T3" s="6">
        <v>45</v>
      </c>
      <c r="U3" s="6">
        <v>48</v>
      </c>
      <c r="V3" s="6">
        <v>46</v>
      </c>
      <c r="W3" s="6">
        <v>50</v>
      </c>
      <c r="X3" s="6">
        <v>51</v>
      </c>
      <c r="Y3" s="6">
        <v>52</v>
      </c>
      <c r="Z3" s="6">
        <v>55</v>
      </c>
      <c r="AA3" s="6">
        <v>57.5</v>
      </c>
      <c r="AB3" s="6">
        <v>60</v>
      </c>
      <c r="AC3" s="6">
        <v>65</v>
      </c>
      <c r="AD3" s="6">
        <v>70</v>
      </c>
      <c r="AE3" s="6">
        <v>75</v>
      </c>
      <c r="AF3" s="7">
        <v>80</v>
      </c>
    </row>
    <row r="4" spans="1:33" ht="16" hidden="1" thickTop="1" x14ac:dyDescent="0.2">
      <c r="D4" s="122"/>
      <c r="F4" s="3"/>
      <c r="M4" s="133"/>
      <c r="N4" s="39">
        <v>3</v>
      </c>
      <c r="O4" s="39">
        <v>4</v>
      </c>
      <c r="P4" s="39">
        <v>5</v>
      </c>
      <c r="Q4" s="39">
        <v>6</v>
      </c>
      <c r="R4" s="39">
        <v>7</v>
      </c>
      <c r="S4" s="39">
        <v>8</v>
      </c>
      <c r="T4" s="39">
        <v>9</v>
      </c>
      <c r="U4" s="39">
        <v>10</v>
      </c>
      <c r="V4" s="39">
        <v>11</v>
      </c>
      <c r="W4" s="39">
        <v>12</v>
      </c>
      <c r="X4" s="39">
        <v>13</v>
      </c>
      <c r="Y4" s="39">
        <v>14</v>
      </c>
      <c r="Z4" s="39">
        <v>15</v>
      </c>
      <c r="AA4" s="39">
        <v>16</v>
      </c>
      <c r="AB4" s="39">
        <v>17</v>
      </c>
      <c r="AC4" s="39">
        <v>18</v>
      </c>
      <c r="AD4" s="39">
        <v>19</v>
      </c>
      <c r="AE4" s="39">
        <v>20</v>
      </c>
      <c r="AF4" s="39">
        <v>21</v>
      </c>
    </row>
    <row r="5" spans="1:33" ht="16" thickTop="1" x14ac:dyDescent="0.2">
      <c r="A5" s="109"/>
      <c r="B5" s="129"/>
      <c r="C5" s="109"/>
      <c r="D5" s="122"/>
      <c r="E5" s="109"/>
      <c r="F5" s="110"/>
      <c r="G5" s="111"/>
      <c r="H5" s="109"/>
      <c r="I5" s="109"/>
      <c r="J5" s="109"/>
      <c r="K5" s="109"/>
      <c r="L5" s="112"/>
      <c r="M5" s="134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6"/>
    </row>
    <row r="6" spans="1:33" x14ac:dyDescent="0.2">
      <c r="A6" s="1" t="s">
        <v>225</v>
      </c>
      <c r="B6" s="129" t="s">
        <v>65</v>
      </c>
      <c r="C6" s="1">
        <v>18</v>
      </c>
      <c r="D6" s="122"/>
      <c r="E6" s="1">
        <v>1</v>
      </c>
      <c r="F6" s="3">
        <v>116</v>
      </c>
      <c r="G6" s="2">
        <f t="shared" ref="G6:G24" si="0">(400-F6)/4</f>
        <v>71</v>
      </c>
      <c r="H6" s="1">
        <v>7.5</v>
      </c>
      <c r="I6" s="1">
        <v>6</v>
      </c>
      <c r="J6" s="1">
        <v>70</v>
      </c>
      <c r="K6" s="1">
        <v>1</v>
      </c>
      <c r="L6" s="85" t="str">
        <f>A6</f>
        <v>H30/23C 1,6m</v>
      </c>
      <c r="M6" s="133"/>
      <c r="P6" s="1">
        <v>55</v>
      </c>
      <c r="Q6" s="1">
        <v>65</v>
      </c>
      <c r="R6" s="1">
        <v>75</v>
      </c>
      <c r="T6" s="1">
        <v>85</v>
      </c>
      <c r="V6" s="1" t="s">
        <v>73</v>
      </c>
      <c r="W6" s="1">
        <v>95</v>
      </c>
      <c r="Z6" s="1">
        <v>105</v>
      </c>
      <c r="AB6" s="1" t="s">
        <v>73</v>
      </c>
    </row>
    <row r="7" spans="1:33" x14ac:dyDescent="0.2">
      <c r="A7" s="1" t="s">
        <v>157</v>
      </c>
      <c r="B7" s="129">
        <v>82004298</v>
      </c>
      <c r="C7" s="1">
        <v>10</v>
      </c>
      <c r="D7" s="122" t="s">
        <v>158</v>
      </c>
      <c r="E7" s="1">
        <v>2</v>
      </c>
      <c r="F7" s="3">
        <v>95</v>
      </c>
      <c r="G7" s="2">
        <f t="shared" si="0"/>
        <v>76.25</v>
      </c>
      <c r="H7" s="1">
        <v>7.5</v>
      </c>
      <c r="I7" s="1">
        <v>6</v>
      </c>
      <c r="J7" s="1">
        <v>61</v>
      </c>
      <c r="K7" s="1">
        <v>1</v>
      </c>
      <c r="L7" s="85" t="str">
        <f t="shared" ref="L7:L39" si="1">A7</f>
        <v>MC85B</v>
      </c>
      <c r="M7" s="133"/>
      <c r="N7" s="1">
        <v>38</v>
      </c>
      <c r="O7" s="1">
        <v>48</v>
      </c>
      <c r="P7" s="1">
        <v>58</v>
      </c>
      <c r="Q7" s="1">
        <v>68</v>
      </c>
      <c r="R7" s="1">
        <v>78</v>
      </c>
      <c r="T7" s="1">
        <v>88</v>
      </c>
      <c r="W7" s="1">
        <v>98</v>
      </c>
    </row>
    <row r="8" spans="1:33" x14ac:dyDescent="0.2">
      <c r="A8" s="1" t="s">
        <v>617</v>
      </c>
      <c r="B8" s="129"/>
      <c r="C8" s="1">
        <v>18</v>
      </c>
      <c r="D8" s="122"/>
      <c r="E8" s="1">
        <v>2</v>
      </c>
      <c r="F8" s="3">
        <v>125</v>
      </c>
      <c r="G8" s="2">
        <f t="shared" si="0"/>
        <v>68.75</v>
      </c>
      <c r="H8" s="1">
        <v>7.5</v>
      </c>
      <c r="I8" s="1">
        <v>6</v>
      </c>
      <c r="J8" s="1">
        <v>85</v>
      </c>
      <c r="K8" s="1">
        <v>1</v>
      </c>
      <c r="L8" s="85" t="str">
        <f t="shared" si="1"/>
        <v>MC310 K12</v>
      </c>
      <c r="M8" s="133"/>
      <c r="P8" s="1">
        <v>55</v>
      </c>
      <c r="Q8" s="1">
        <v>65</v>
      </c>
      <c r="R8" s="1">
        <v>75</v>
      </c>
      <c r="T8" s="1">
        <v>85</v>
      </c>
      <c r="W8" s="1">
        <v>95</v>
      </c>
      <c r="Z8" s="1">
        <v>105</v>
      </c>
      <c r="AB8" s="1">
        <v>115</v>
      </c>
      <c r="AC8" s="1">
        <v>125</v>
      </c>
      <c r="AD8" s="1">
        <v>135</v>
      </c>
    </row>
    <row r="9" spans="1:33" x14ac:dyDescent="0.2">
      <c r="A9" s="1" t="s">
        <v>314</v>
      </c>
      <c r="B9" s="129"/>
      <c r="C9" s="1">
        <v>10</v>
      </c>
      <c r="D9" s="122"/>
      <c r="E9" s="1">
        <v>2</v>
      </c>
      <c r="F9" s="3">
        <v>67</v>
      </c>
      <c r="G9" s="2">
        <f t="shared" si="0"/>
        <v>83.25</v>
      </c>
      <c r="H9" s="1">
        <v>6</v>
      </c>
      <c r="I9" s="1">
        <v>6</v>
      </c>
      <c r="J9" s="1">
        <v>52</v>
      </c>
      <c r="K9" s="1">
        <v>1</v>
      </c>
      <c r="L9" s="85" t="str">
        <f t="shared" si="1"/>
        <v>MCT50</v>
      </c>
      <c r="M9" s="133"/>
      <c r="N9" s="1">
        <v>34</v>
      </c>
      <c r="O9" s="1">
        <v>44</v>
      </c>
      <c r="P9" s="1">
        <v>54</v>
      </c>
      <c r="Q9" s="1">
        <v>64</v>
      </c>
      <c r="S9" s="1">
        <v>78</v>
      </c>
    </row>
    <row r="10" spans="1:33" x14ac:dyDescent="0.2">
      <c r="A10" s="1" t="s">
        <v>349</v>
      </c>
      <c r="B10" s="129"/>
      <c r="C10" s="1">
        <v>10</v>
      </c>
      <c r="D10" s="122"/>
      <c r="E10" s="1">
        <v>2</v>
      </c>
      <c r="F10" s="3">
        <v>68</v>
      </c>
      <c r="G10" s="2">
        <f t="shared" si="0"/>
        <v>83</v>
      </c>
      <c r="H10" s="1">
        <v>6</v>
      </c>
      <c r="I10" s="1">
        <v>6</v>
      </c>
      <c r="J10" s="1">
        <v>52</v>
      </c>
      <c r="K10" s="1">
        <v>1</v>
      </c>
      <c r="L10" s="85" t="str">
        <f t="shared" si="1"/>
        <v>MCT58</v>
      </c>
      <c r="M10" s="133"/>
      <c r="N10" s="1">
        <v>34</v>
      </c>
      <c r="O10" s="1">
        <v>44</v>
      </c>
      <c r="P10" s="1">
        <v>54</v>
      </c>
      <c r="Q10" s="1">
        <v>64</v>
      </c>
      <c r="R10" s="1">
        <v>74</v>
      </c>
      <c r="U10" s="1">
        <v>78</v>
      </c>
    </row>
    <row r="11" spans="1:33" x14ac:dyDescent="0.2">
      <c r="A11" s="1" t="s">
        <v>25</v>
      </c>
      <c r="B11" s="129">
        <v>84035201</v>
      </c>
      <c r="C11" s="1">
        <v>10</v>
      </c>
      <c r="D11" s="122" t="s">
        <v>86</v>
      </c>
      <c r="E11" s="1">
        <v>2</v>
      </c>
      <c r="F11" s="3">
        <v>72</v>
      </c>
      <c r="G11" s="2">
        <f t="shared" si="0"/>
        <v>82</v>
      </c>
      <c r="H11" s="1">
        <v>6</v>
      </c>
      <c r="I11" s="1">
        <v>6</v>
      </c>
      <c r="J11" s="1">
        <v>56</v>
      </c>
      <c r="K11" s="1">
        <v>1</v>
      </c>
      <c r="L11" s="85" t="str">
        <f t="shared" si="1"/>
        <v>MCT68</v>
      </c>
      <c r="M11" s="133" t="s">
        <v>26</v>
      </c>
      <c r="N11" s="1">
        <v>34</v>
      </c>
      <c r="O11" s="1">
        <v>44</v>
      </c>
      <c r="P11" s="1">
        <v>54</v>
      </c>
      <c r="Q11" s="1">
        <v>65</v>
      </c>
      <c r="R11" s="1">
        <v>74</v>
      </c>
      <c r="V11" s="1">
        <v>86</v>
      </c>
    </row>
    <row r="12" spans="1:33" x14ac:dyDescent="0.2">
      <c r="A12" s="1" t="s">
        <v>276</v>
      </c>
      <c r="B12" s="129"/>
      <c r="C12" s="1">
        <v>10</v>
      </c>
      <c r="D12" s="122"/>
      <c r="E12" s="1">
        <v>2</v>
      </c>
      <c r="F12" s="3">
        <v>84</v>
      </c>
      <c r="G12" s="2">
        <f t="shared" si="0"/>
        <v>79</v>
      </c>
      <c r="H12" s="1">
        <v>7.5</v>
      </c>
      <c r="I12" s="1">
        <v>6</v>
      </c>
      <c r="J12" s="1">
        <v>63</v>
      </c>
      <c r="K12" s="1">
        <v>1</v>
      </c>
      <c r="L12" s="85" t="str">
        <f t="shared" si="1"/>
        <v>MCT78</v>
      </c>
      <c r="M12" s="133"/>
      <c r="N12" s="1">
        <v>35</v>
      </c>
      <c r="O12" s="1">
        <v>45</v>
      </c>
      <c r="P12" s="1">
        <v>55</v>
      </c>
      <c r="Q12" s="1">
        <v>65</v>
      </c>
      <c r="R12" s="1">
        <v>75</v>
      </c>
      <c r="T12" s="1">
        <v>85</v>
      </c>
      <c r="X12" s="1">
        <v>97</v>
      </c>
    </row>
    <row r="13" spans="1:33" x14ac:dyDescent="0.2">
      <c r="A13" s="1" t="s">
        <v>24</v>
      </c>
      <c r="B13" s="129">
        <v>84035201</v>
      </c>
      <c r="C13" s="1">
        <v>10</v>
      </c>
      <c r="D13" s="122"/>
      <c r="E13" s="1">
        <v>2</v>
      </c>
      <c r="F13" s="3">
        <v>84</v>
      </c>
      <c r="G13" s="2">
        <f t="shared" si="0"/>
        <v>79</v>
      </c>
      <c r="H13" s="1">
        <v>7.5</v>
      </c>
      <c r="I13" s="1">
        <v>6</v>
      </c>
      <c r="J13" s="1">
        <v>63</v>
      </c>
      <c r="K13" s="1">
        <v>1</v>
      </c>
      <c r="L13" s="85" t="str">
        <f t="shared" si="1"/>
        <v>MCT88</v>
      </c>
      <c r="M13" s="133" t="s">
        <v>15</v>
      </c>
      <c r="N13" s="1">
        <v>35</v>
      </c>
      <c r="O13" s="1">
        <v>45</v>
      </c>
      <c r="P13" s="1">
        <v>55</v>
      </c>
      <c r="Q13" s="1">
        <v>65</v>
      </c>
      <c r="R13" s="1">
        <v>75</v>
      </c>
      <c r="T13" s="1">
        <v>85</v>
      </c>
      <c r="W13" s="1">
        <v>95</v>
      </c>
      <c r="Y13" s="1">
        <v>99</v>
      </c>
    </row>
    <row r="14" spans="1:33" x14ac:dyDescent="0.2">
      <c r="A14" s="1" t="s">
        <v>207</v>
      </c>
      <c r="B14" s="129"/>
      <c r="C14" s="1">
        <v>13</v>
      </c>
      <c r="D14" s="122"/>
      <c r="E14" s="1">
        <v>1</v>
      </c>
      <c r="F14" s="3">
        <v>105</v>
      </c>
      <c r="G14" s="2">
        <f t="shared" si="0"/>
        <v>73.75</v>
      </c>
      <c r="H14" s="1">
        <v>7.5</v>
      </c>
      <c r="I14" s="1">
        <v>6</v>
      </c>
      <c r="J14" s="1">
        <v>70</v>
      </c>
      <c r="K14" s="1">
        <v>1</v>
      </c>
      <c r="L14" s="85" t="str">
        <f t="shared" si="1"/>
        <v>MD175A</v>
      </c>
      <c r="M14" s="133"/>
      <c r="P14" s="1">
        <v>55</v>
      </c>
      <c r="Q14" s="1">
        <v>65</v>
      </c>
      <c r="R14" s="1">
        <v>75</v>
      </c>
      <c r="T14" s="1">
        <v>85</v>
      </c>
      <c r="W14" s="1">
        <v>95</v>
      </c>
      <c r="Z14" s="1">
        <v>105</v>
      </c>
      <c r="AB14" s="1">
        <v>115</v>
      </c>
    </row>
    <row r="15" spans="1:33" x14ac:dyDescent="0.2">
      <c r="A15" s="1" t="s">
        <v>206</v>
      </c>
      <c r="B15" s="129"/>
      <c r="C15" s="1">
        <v>14</v>
      </c>
      <c r="D15" s="122"/>
      <c r="E15" s="1">
        <v>2</v>
      </c>
      <c r="F15" s="3">
        <v>105</v>
      </c>
      <c r="G15" s="2">
        <f t="shared" si="0"/>
        <v>73.75</v>
      </c>
      <c r="H15" s="1">
        <v>7.5</v>
      </c>
      <c r="I15" s="1">
        <v>6</v>
      </c>
      <c r="J15" s="1">
        <v>72</v>
      </c>
      <c r="K15" s="1">
        <v>1</v>
      </c>
      <c r="L15" s="85" t="str">
        <f t="shared" si="1"/>
        <v>MD208</v>
      </c>
      <c r="M15" s="133"/>
      <c r="P15" s="1">
        <v>55</v>
      </c>
      <c r="Q15" s="1">
        <v>65</v>
      </c>
      <c r="R15" s="1">
        <v>75</v>
      </c>
      <c r="T15" s="1">
        <v>85</v>
      </c>
      <c r="W15" s="1">
        <v>95</v>
      </c>
      <c r="Z15" s="1">
        <v>105</v>
      </c>
      <c r="AB15" s="1">
        <v>115</v>
      </c>
    </row>
    <row r="16" spans="1:33" x14ac:dyDescent="0.2">
      <c r="A16" s="1" t="s">
        <v>412</v>
      </c>
      <c r="B16" s="129"/>
      <c r="C16" s="1">
        <v>14</v>
      </c>
      <c r="D16" s="122"/>
      <c r="E16" s="1">
        <v>2</v>
      </c>
      <c r="F16" s="3">
        <v>115</v>
      </c>
      <c r="G16" s="2">
        <f t="shared" si="0"/>
        <v>71.25</v>
      </c>
      <c r="H16" s="1">
        <v>6.5</v>
      </c>
      <c r="I16" s="1">
        <v>6</v>
      </c>
      <c r="J16" s="1">
        <v>74.5</v>
      </c>
      <c r="K16" s="1">
        <v>1</v>
      </c>
      <c r="L16" s="85" t="str">
        <f t="shared" si="1"/>
        <v>MD208A</v>
      </c>
      <c r="M16" s="133"/>
      <c r="P16" s="1">
        <v>55</v>
      </c>
      <c r="Q16" s="1">
        <v>65</v>
      </c>
      <c r="R16" s="1">
        <v>75</v>
      </c>
      <c r="T16" s="1">
        <v>85</v>
      </c>
      <c r="W16" s="1">
        <v>95</v>
      </c>
      <c r="Z16" s="1">
        <v>105</v>
      </c>
      <c r="AB16" s="1">
        <v>120</v>
      </c>
    </row>
    <row r="17" spans="1:32" x14ac:dyDescent="0.2">
      <c r="A17" s="1" t="s">
        <v>413</v>
      </c>
      <c r="B17" s="129"/>
      <c r="C17" s="1">
        <v>14</v>
      </c>
      <c r="D17" s="122"/>
      <c r="E17" s="1">
        <v>3</v>
      </c>
      <c r="F17" s="3">
        <v>115</v>
      </c>
      <c r="G17" s="2">
        <f t="shared" si="0"/>
        <v>71.25</v>
      </c>
      <c r="H17" s="1">
        <v>6.5</v>
      </c>
      <c r="I17" s="1">
        <v>6</v>
      </c>
      <c r="J17" s="1">
        <v>74.5</v>
      </c>
      <c r="K17" s="1">
        <v>1</v>
      </c>
      <c r="L17" s="85" t="str">
        <f t="shared" ref="L17" si="2">A17</f>
        <v>MD208A 75LVF</v>
      </c>
      <c r="M17" s="133"/>
      <c r="P17" s="1">
        <v>55</v>
      </c>
      <c r="Q17" s="1">
        <v>65</v>
      </c>
      <c r="R17" s="1">
        <v>75</v>
      </c>
      <c r="T17" s="1">
        <v>85</v>
      </c>
      <c r="W17" s="1">
        <v>95</v>
      </c>
      <c r="Z17" s="1">
        <v>105</v>
      </c>
      <c r="AB17" s="1">
        <v>120</v>
      </c>
    </row>
    <row r="18" spans="1:32" x14ac:dyDescent="0.2">
      <c r="A18" s="1" t="s">
        <v>234</v>
      </c>
      <c r="B18" s="129"/>
      <c r="C18" s="1">
        <v>18</v>
      </c>
      <c r="D18" s="122"/>
      <c r="E18" s="1">
        <v>1</v>
      </c>
      <c r="F18" s="3">
        <v>130</v>
      </c>
      <c r="G18" s="2">
        <f t="shared" si="0"/>
        <v>67.5</v>
      </c>
      <c r="H18" s="1">
        <v>7.5</v>
      </c>
      <c r="I18" s="1">
        <v>6</v>
      </c>
      <c r="J18" s="1">
        <v>80</v>
      </c>
      <c r="K18" s="1">
        <v>1</v>
      </c>
      <c r="L18" s="85" t="str">
        <f t="shared" si="1"/>
        <v>MD235A-J12</v>
      </c>
      <c r="M18" s="133"/>
      <c r="O18" s="1">
        <v>45</v>
      </c>
      <c r="P18" s="1">
        <v>55</v>
      </c>
      <c r="Q18" s="1">
        <v>65</v>
      </c>
      <c r="R18" s="1">
        <v>75</v>
      </c>
      <c r="T18" s="1">
        <v>85</v>
      </c>
      <c r="W18" s="1">
        <v>95</v>
      </c>
      <c r="Z18" s="1">
        <v>105</v>
      </c>
      <c r="AB18" s="1">
        <v>115</v>
      </c>
      <c r="AC18" s="1">
        <v>125</v>
      </c>
    </row>
    <row r="19" spans="1:32" x14ac:dyDescent="0.2">
      <c r="A19" s="1" t="s">
        <v>208</v>
      </c>
      <c r="B19" s="129"/>
      <c r="C19" s="1">
        <v>14</v>
      </c>
      <c r="D19" s="122"/>
      <c r="E19" s="1">
        <v>2</v>
      </c>
      <c r="F19" s="3">
        <v>115</v>
      </c>
      <c r="G19" s="2">
        <f t="shared" si="0"/>
        <v>71.25</v>
      </c>
      <c r="H19" s="1">
        <v>7.5</v>
      </c>
      <c r="I19" s="1">
        <v>6</v>
      </c>
      <c r="J19" s="1">
        <v>82.5</v>
      </c>
      <c r="K19" s="1">
        <v>1</v>
      </c>
      <c r="L19" s="85" t="str">
        <f t="shared" si="1"/>
        <v>MD238-J10</v>
      </c>
      <c r="M19" s="133"/>
      <c r="P19" s="1">
        <v>56</v>
      </c>
      <c r="Q19" s="1">
        <v>66</v>
      </c>
      <c r="R19" s="1">
        <v>76</v>
      </c>
      <c r="T19" s="1">
        <v>86</v>
      </c>
      <c r="W19" s="1">
        <v>96</v>
      </c>
      <c r="Z19" s="1">
        <v>106</v>
      </c>
      <c r="AB19" s="1">
        <v>116</v>
      </c>
      <c r="AC19" s="1">
        <v>126</v>
      </c>
    </row>
    <row r="20" spans="1:32" x14ac:dyDescent="0.2">
      <c r="A20" s="1" t="s">
        <v>226</v>
      </c>
      <c r="B20" s="129"/>
      <c r="C20" s="1">
        <v>14</v>
      </c>
      <c r="D20" s="122"/>
      <c r="E20" s="1">
        <v>2</v>
      </c>
      <c r="F20" s="3">
        <v>110</v>
      </c>
      <c r="G20" s="2">
        <f t="shared" si="0"/>
        <v>72.5</v>
      </c>
      <c r="H20" s="1">
        <v>7.5</v>
      </c>
      <c r="I20" s="1">
        <v>6</v>
      </c>
      <c r="J20" s="1">
        <v>80</v>
      </c>
      <c r="K20" s="1">
        <v>1</v>
      </c>
      <c r="L20" s="85" t="str">
        <f t="shared" si="1"/>
        <v>MD265B1-J10</v>
      </c>
      <c r="M20" s="133"/>
      <c r="P20" s="1">
        <v>55</v>
      </c>
      <c r="Q20" s="1">
        <v>65</v>
      </c>
      <c r="R20" s="1">
        <v>75</v>
      </c>
      <c r="T20" s="1">
        <v>85</v>
      </c>
      <c r="W20" s="1">
        <v>95</v>
      </c>
      <c r="Z20" s="1">
        <v>105</v>
      </c>
      <c r="AB20" s="1">
        <v>115</v>
      </c>
      <c r="AC20" s="1">
        <v>125</v>
      </c>
    </row>
    <row r="21" spans="1:32" x14ac:dyDescent="0.2">
      <c r="A21" s="1" t="s">
        <v>271</v>
      </c>
      <c r="B21" s="129"/>
      <c r="C21" s="1">
        <v>18</v>
      </c>
      <c r="D21" s="122"/>
      <c r="E21" s="1">
        <v>1</v>
      </c>
      <c r="F21" s="3">
        <v>130</v>
      </c>
      <c r="G21" s="2">
        <f t="shared" si="0"/>
        <v>67.5</v>
      </c>
      <c r="H21" s="1">
        <v>7.5</v>
      </c>
      <c r="I21" s="1">
        <v>6</v>
      </c>
      <c r="J21" s="1">
        <v>80</v>
      </c>
      <c r="K21" s="1">
        <v>1</v>
      </c>
      <c r="L21" s="85" t="str">
        <f t="shared" si="1"/>
        <v>MD265B1-J12</v>
      </c>
      <c r="M21" s="133"/>
      <c r="P21" s="1">
        <v>55</v>
      </c>
      <c r="Q21" s="1">
        <v>65</v>
      </c>
      <c r="R21" s="1">
        <v>75</v>
      </c>
      <c r="T21" s="1">
        <v>85</v>
      </c>
      <c r="W21" s="1">
        <v>95</v>
      </c>
      <c r="Z21" s="1">
        <v>105</v>
      </c>
      <c r="AB21" s="1">
        <v>115</v>
      </c>
      <c r="AC21" s="1">
        <v>125</v>
      </c>
    </row>
    <row r="22" spans="1:32" x14ac:dyDescent="0.2">
      <c r="A22" s="1" t="s">
        <v>417</v>
      </c>
      <c r="B22" s="129"/>
      <c r="C22" s="1">
        <v>18</v>
      </c>
      <c r="D22" s="122"/>
      <c r="E22" s="1">
        <v>1</v>
      </c>
      <c r="F22" s="3">
        <v>125</v>
      </c>
      <c r="G22" s="2">
        <f t="shared" si="0"/>
        <v>68.75</v>
      </c>
      <c r="H22" s="1">
        <v>7.5</v>
      </c>
      <c r="I22" s="1">
        <v>6</v>
      </c>
      <c r="J22" s="1">
        <v>85</v>
      </c>
      <c r="K22" s="1">
        <v>1</v>
      </c>
      <c r="L22" s="85" t="str">
        <f t="shared" si="1"/>
        <v>MD285A-J12</v>
      </c>
      <c r="M22" s="133"/>
      <c r="P22" s="1">
        <v>55</v>
      </c>
      <c r="Q22" s="1">
        <v>65</v>
      </c>
      <c r="R22" s="1">
        <v>75</v>
      </c>
      <c r="T22" s="1">
        <v>85</v>
      </c>
      <c r="W22" s="1">
        <v>95</v>
      </c>
      <c r="Z22" s="1">
        <v>105</v>
      </c>
      <c r="AB22" s="1">
        <v>115</v>
      </c>
      <c r="AC22" s="1">
        <v>125</v>
      </c>
      <c r="AD22" s="1">
        <v>135</v>
      </c>
    </row>
    <row r="23" spans="1:32" x14ac:dyDescent="0.2">
      <c r="A23" s="1" t="s">
        <v>350</v>
      </c>
      <c r="B23" s="129"/>
      <c r="C23" s="1">
        <v>18</v>
      </c>
      <c r="D23" s="122"/>
      <c r="E23" s="1">
        <v>1</v>
      </c>
      <c r="F23" s="3">
        <v>125</v>
      </c>
      <c r="G23" s="2">
        <f t="shared" si="0"/>
        <v>68.75</v>
      </c>
      <c r="H23" s="1">
        <v>7.5</v>
      </c>
      <c r="I23" s="1">
        <v>6</v>
      </c>
      <c r="J23" s="1">
        <v>85</v>
      </c>
      <c r="K23" s="1">
        <v>1</v>
      </c>
      <c r="L23" s="85" t="str">
        <f t="shared" si="1"/>
        <v>MD310B 12T</v>
      </c>
      <c r="M23" s="133"/>
      <c r="P23" s="1">
        <v>55</v>
      </c>
      <c r="Q23" s="1">
        <v>65</v>
      </c>
      <c r="R23" s="1">
        <v>75</v>
      </c>
      <c r="T23" s="1">
        <v>85</v>
      </c>
      <c r="V23" s="1" t="s">
        <v>73</v>
      </c>
      <c r="W23" s="1">
        <v>95</v>
      </c>
      <c r="Z23" s="1">
        <v>105</v>
      </c>
      <c r="AB23" s="1">
        <v>115</v>
      </c>
      <c r="AC23" s="1">
        <v>125</v>
      </c>
      <c r="AD23" s="1">
        <v>135</v>
      </c>
    </row>
    <row r="24" spans="1:32" x14ac:dyDescent="0.2">
      <c r="A24" s="1" t="s">
        <v>352</v>
      </c>
      <c r="B24" s="129"/>
      <c r="C24" s="1">
        <v>20</v>
      </c>
      <c r="D24" s="122"/>
      <c r="E24" s="1">
        <v>2</v>
      </c>
      <c r="F24" s="3">
        <v>125</v>
      </c>
      <c r="G24" s="2">
        <f t="shared" si="0"/>
        <v>68.75</v>
      </c>
      <c r="H24" s="1">
        <v>9</v>
      </c>
      <c r="I24" s="1">
        <v>6</v>
      </c>
      <c r="J24" s="1">
        <v>93</v>
      </c>
      <c r="K24" s="1">
        <v>1</v>
      </c>
      <c r="L24" s="85" t="str">
        <f t="shared" si="1"/>
        <v>MD310B 16T</v>
      </c>
      <c r="M24" s="133"/>
      <c r="P24" s="1">
        <v>57</v>
      </c>
      <c r="Q24" s="1">
        <v>67</v>
      </c>
      <c r="R24" s="1">
        <v>77</v>
      </c>
      <c r="T24" s="1">
        <v>87</v>
      </c>
      <c r="W24" s="1">
        <v>97</v>
      </c>
      <c r="Z24" s="1">
        <v>107</v>
      </c>
      <c r="AB24" s="1">
        <v>117</v>
      </c>
      <c r="AC24" s="1">
        <v>127</v>
      </c>
      <c r="AD24" s="1">
        <v>137</v>
      </c>
    </row>
    <row r="25" spans="1:32" x14ac:dyDescent="0.2">
      <c r="A25" s="1" t="s">
        <v>351</v>
      </c>
      <c r="B25" s="129"/>
      <c r="C25" s="1">
        <v>16</v>
      </c>
      <c r="D25" s="122"/>
      <c r="E25" s="1">
        <v>2</v>
      </c>
      <c r="F25" s="3">
        <v>125</v>
      </c>
      <c r="G25" s="2">
        <f>(400-F25)/4</f>
        <v>68.75</v>
      </c>
      <c r="H25" s="1">
        <v>7.5</v>
      </c>
      <c r="I25" s="1">
        <v>6</v>
      </c>
      <c r="J25" s="1">
        <v>85</v>
      </c>
      <c r="K25" s="1">
        <v>1</v>
      </c>
      <c r="L25" s="85" t="str">
        <f t="shared" si="1"/>
        <v>MD310C 12T</v>
      </c>
      <c r="M25" s="133"/>
      <c r="P25" s="1">
        <v>55</v>
      </c>
      <c r="Q25" s="1">
        <v>65</v>
      </c>
      <c r="R25" s="1">
        <v>75</v>
      </c>
      <c r="T25" s="1">
        <v>85</v>
      </c>
      <c r="V25" s="1" t="s">
        <v>73</v>
      </c>
      <c r="W25" s="1">
        <v>95</v>
      </c>
      <c r="Z25" s="1">
        <v>105</v>
      </c>
      <c r="AB25" s="1">
        <v>115</v>
      </c>
      <c r="AC25" s="1">
        <v>125</v>
      </c>
      <c r="AD25" s="1">
        <v>135</v>
      </c>
    </row>
    <row r="26" spans="1:32" x14ac:dyDescent="0.2">
      <c r="A26" s="1" t="s">
        <v>353</v>
      </c>
      <c r="B26" s="129"/>
      <c r="C26" s="1">
        <v>18</v>
      </c>
      <c r="D26" s="122"/>
      <c r="E26" s="1">
        <v>2</v>
      </c>
      <c r="F26" s="3">
        <v>125</v>
      </c>
      <c r="G26" s="2">
        <f t="shared" ref="G26:G80" si="3">(400-F26)/4</f>
        <v>68.75</v>
      </c>
      <c r="H26" s="1">
        <v>9</v>
      </c>
      <c r="I26" s="1">
        <v>6</v>
      </c>
      <c r="J26" s="1">
        <v>93</v>
      </c>
      <c r="K26" s="1">
        <v>1</v>
      </c>
      <c r="L26" s="85" t="str">
        <f t="shared" si="1"/>
        <v>MD310C 16T</v>
      </c>
      <c r="M26" s="133"/>
      <c r="P26" s="1">
        <v>57</v>
      </c>
      <c r="Q26" s="1">
        <v>67</v>
      </c>
      <c r="R26" s="1">
        <v>77</v>
      </c>
      <c r="T26" s="1">
        <v>87</v>
      </c>
      <c r="W26" s="1">
        <v>97</v>
      </c>
      <c r="Z26" s="1">
        <v>107</v>
      </c>
      <c r="AB26" s="1">
        <v>117</v>
      </c>
      <c r="AC26" s="1">
        <v>127</v>
      </c>
      <c r="AD26" s="1">
        <v>137</v>
      </c>
    </row>
    <row r="27" spans="1:32" x14ac:dyDescent="0.2">
      <c r="A27" s="1" t="s">
        <v>64</v>
      </c>
      <c r="B27" s="129" t="s">
        <v>65</v>
      </c>
      <c r="C27" s="1">
        <v>18</v>
      </c>
      <c r="D27" s="122"/>
      <c r="E27" s="1">
        <v>2</v>
      </c>
      <c r="F27" s="3">
        <v>145</v>
      </c>
      <c r="G27" s="2">
        <f t="shared" si="3"/>
        <v>63.75</v>
      </c>
      <c r="H27" s="1">
        <v>9</v>
      </c>
      <c r="I27" s="1">
        <v>6</v>
      </c>
      <c r="J27" s="1">
        <v>88</v>
      </c>
      <c r="K27" s="1">
        <v>1</v>
      </c>
      <c r="L27" s="85" t="str">
        <f t="shared" si="1"/>
        <v>MD345B-L12</v>
      </c>
      <c r="M27" s="133" t="s">
        <v>21</v>
      </c>
      <c r="R27" s="1">
        <v>77</v>
      </c>
      <c r="T27" s="1">
        <v>87</v>
      </c>
      <c r="W27" s="1">
        <v>97</v>
      </c>
      <c r="Z27" s="1">
        <v>107</v>
      </c>
      <c r="AB27" s="1">
        <v>117</v>
      </c>
      <c r="AC27" s="1">
        <v>127</v>
      </c>
      <c r="AD27" s="1">
        <v>137</v>
      </c>
      <c r="AE27" s="1">
        <v>147</v>
      </c>
    </row>
    <row r="28" spans="1:32" x14ac:dyDescent="0.2">
      <c r="A28" s="1" t="s">
        <v>354</v>
      </c>
      <c r="B28" s="129"/>
      <c r="C28" s="1">
        <v>18</v>
      </c>
      <c r="D28" s="122"/>
      <c r="E28" s="1">
        <v>1</v>
      </c>
      <c r="F28" s="3">
        <v>145</v>
      </c>
      <c r="G28" s="2">
        <f t="shared" si="3"/>
        <v>63.75</v>
      </c>
      <c r="H28" s="1">
        <v>9</v>
      </c>
      <c r="I28" s="1">
        <v>6</v>
      </c>
      <c r="J28" s="1">
        <v>88</v>
      </c>
      <c r="K28" s="1">
        <v>1</v>
      </c>
      <c r="L28" s="85" t="str">
        <f t="shared" si="1"/>
        <v>MD365B 12T</v>
      </c>
      <c r="M28" s="133"/>
      <c r="R28" s="1">
        <v>77</v>
      </c>
      <c r="T28" s="1">
        <v>87</v>
      </c>
      <c r="W28" s="1">
        <v>97</v>
      </c>
      <c r="Z28" s="1">
        <v>107</v>
      </c>
      <c r="AB28" s="1">
        <v>117</v>
      </c>
      <c r="AC28" s="1">
        <v>127</v>
      </c>
      <c r="AD28" s="1">
        <v>137</v>
      </c>
      <c r="AE28" s="1">
        <v>147</v>
      </c>
    </row>
    <row r="29" spans="1:32" x14ac:dyDescent="0.2">
      <c r="A29" s="1" t="s">
        <v>355</v>
      </c>
      <c r="B29" s="129"/>
      <c r="C29" s="1">
        <v>20</v>
      </c>
      <c r="D29" s="122"/>
      <c r="E29" s="1">
        <v>2</v>
      </c>
      <c r="F29" s="3">
        <v>145</v>
      </c>
      <c r="G29" s="2">
        <f t="shared" si="3"/>
        <v>63.75</v>
      </c>
      <c r="H29" s="1">
        <v>9</v>
      </c>
      <c r="I29" s="1">
        <v>6</v>
      </c>
      <c r="J29" s="1">
        <v>88</v>
      </c>
      <c r="K29" s="1">
        <v>1</v>
      </c>
      <c r="L29" s="85" t="str">
        <f t="shared" si="1"/>
        <v>MD365B 16T</v>
      </c>
      <c r="M29" s="133"/>
      <c r="R29" s="1">
        <v>77</v>
      </c>
      <c r="T29" s="1">
        <v>87</v>
      </c>
      <c r="W29" s="1">
        <v>97</v>
      </c>
      <c r="Z29" s="1">
        <v>107</v>
      </c>
      <c r="AB29" s="1">
        <v>117</v>
      </c>
      <c r="AC29" s="1">
        <v>127</v>
      </c>
      <c r="AD29" s="1">
        <v>137</v>
      </c>
      <c r="AE29" s="1">
        <v>147</v>
      </c>
    </row>
    <row r="30" spans="1:32" x14ac:dyDescent="0.2">
      <c r="A30" s="1" t="s">
        <v>576</v>
      </c>
      <c r="B30" s="129"/>
      <c r="C30" s="1">
        <v>18</v>
      </c>
      <c r="D30" s="122"/>
      <c r="E30" s="1">
        <v>2</v>
      </c>
      <c r="F30" s="3">
        <v>135</v>
      </c>
      <c r="G30" s="2">
        <f t="shared" si="3"/>
        <v>66.25</v>
      </c>
      <c r="H30" s="1">
        <v>12</v>
      </c>
      <c r="I30" s="1">
        <v>6</v>
      </c>
      <c r="J30" s="1">
        <v>97</v>
      </c>
      <c r="K30" s="1">
        <v>1</v>
      </c>
      <c r="L30" s="85" t="str">
        <f t="shared" si="1"/>
        <v xml:space="preserve">MD485 </v>
      </c>
      <c r="M30" s="133"/>
      <c r="Q30" s="1">
        <v>68</v>
      </c>
      <c r="R30" s="1">
        <v>78</v>
      </c>
      <c r="T30" s="1">
        <v>88</v>
      </c>
      <c r="W30" s="1">
        <v>98</v>
      </c>
      <c r="Z30" s="1">
        <v>108</v>
      </c>
      <c r="AB30" s="1">
        <v>118</v>
      </c>
      <c r="AC30" s="1">
        <v>128</v>
      </c>
      <c r="AD30" s="1">
        <v>138</v>
      </c>
      <c r="AE30" s="1">
        <v>148</v>
      </c>
      <c r="AF30" s="117">
        <v>158</v>
      </c>
    </row>
    <row r="31" spans="1:32" x14ac:dyDescent="0.2">
      <c r="A31" s="1" t="s">
        <v>204</v>
      </c>
      <c r="B31" s="129" t="s">
        <v>205</v>
      </c>
      <c r="C31" s="1">
        <v>20</v>
      </c>
      <c r="D31" s="122"/>
      <c r="E31" s="1">
        <v>2</v>
      </c>
      <c r="F31" s="3">
        <v>135</v>
      </c>
      <c r="G31" s="2">
        <f t="shared" si="3"/>
        <v>66.25</v>
      </c>
      <c r="H31" s="1">
        <v>12</v>
      </c>
      <c r="I31" s="1">
        <v>6</v>
      </c>
      <c r="J31" s="1">
        <v>97</v>
      </c>
      <c r="K31" s="1">
        <v>1</v>
      </c>
      <c r="L31" s="85" t="str">
        <f t="shared" si="1"/>
        <v>MD485B-M20</v>
      </c>
      <c r="M31" s="133"/>
      <c r="Q31" s="1">
        <v>68</v>
      </c>
      <c r="R31" s="1">
        <v>78</v>
      </c>
      <c r="T31" s="1">
        <v>88</v>
      </c>
      <c r="W31" s="1">
        <v>98</v>
      </c>
      <c r="Z31" s="1">
        <v>108</v>
      </c>
      <c r="AB31" s="1">
        <v>118</v>
      </c>
      <c r="AC31" s="1">
        <v>128</v>
      </c>
      <c r="AD31" s="1">
        <v>138</v>
      </c>
      <c r="AE31" s="1">
        <v>148</v>
      </c>
      <c r="AF31" s="117">
        <v>158</v>
      </c>
    </row>
    <row r="32" spans="1:32" x14ac:dyDescent="0.2">
      <c r="A32" s="1" t="s">
        <v>210</v>
      </c>
      <c r="C32" s="1">
        <v>20</v>
      </c>
      <c r="E32" s="1">
        <v>3</v>
      </c>
      <c r="F32" s="3">
        <v>135</v>
      </c>
      <c r="G32" s="2">
        <f t="shared" si="3"/>
        <v>66.25</v>
      </c>
      <c r="H32" s="1">
        <v>12</v>
      </c>
      <c r="I32" s="1">
        <v>9</v>
      </c>
      <c r="J32" s="1">
        <v>97</v>
      </c>
      <c r="K32" s="1">
        <v>1</v>
      </c>
      <c r="L32" s="85" t="str">
        <f t="shared" si="1"/>
        <v>MD509-20T</v>
      </c>
      <c r="M32" s="157"/>
      <c r="Q32" s="1">
        <v>68</v>
      </c>
      <c r="R32" s="1">
        <v>78</v>
      </c>
      <c r="T32" s="1">
        <v>88</v>
      </c>
      <c r="W32" s="1">
        <v>98</v>
      </c>
      <c r="Z32" s="1">
        <v>108</v>
      </c>
      <c r="AB32" s="1">
        <v>118</v>
      </c>
      <c r="AC32" s="1">
        <v>128</v>
      </c>
      <c r="AD32" s="1">
        <v>138</v>
      </c>
      <c r="AE32" s="1">
        <v>148</v>
      </c>
      <c r="AF32" s="117">
        <v>158</v>
      </c>
    </row>
    <row r="33" spans="1:32" x14ac:dyDescent="0.2">
      <c r="A33" s="1" t="s">
        <v>279</v>
      </c>
      <c r="B33" s="129"/>
      <c r="C33" s="1">
        <v>20</v>
      </c>
      <c r="D33" s="122"/>
      <c r="E33" s="1">
        <v>3</v>
      </c>
      <c r="F33" s="3">
        <v>135</v>
      </c>
      <c r="G33" s="2">
        <f t="shared" si="3"/>
        <v>66.25</v>
      </c>
      <c r="H33" s="1">
        <v>12</v>
      </c>
      <c r="I33" s="1">
        <v>9</v>
      </c>
      <c r="J33" s="1">
        <v>97</v>
      </c>
      <c r="K33" s="1">
        <v>1</v>
      </c>
      <c r="L33" s="85" t="str">
        <f t="shared" si="1"/>
        <v>MD509-25T</v>
      </c>
      <c r="M33" s="133"/>
      <c r="Q33" s="1">
        <v>68</v>
      </c>
      <c r="R33" s="1">
        <v>78</v>
      </c>
      <c r="T33" s="1">
        <v>88</v>
      </c>
      <c r="W33" s="1">
        <v>98</v>
      </c>
      <c r="Z33" s="1">
        <v>108</v>
      </c>
      <c r="AB33" s="1">
        <v>118</v>
      </c>
      <c r="AC33" s="1">
        <v>128</v>
      </c>
      <c r="AD33" s="1">
        <v>138</v>
      </c>
      <c r="AE33" s="1">
        <v>148</v>
      </c>
      <c r="AF33" s="117">
        <v>158</v>
      </c>
    </row>
    <row r="34" spans="1:32" x14ac:dyDescent="0.2">
      <c r="A34" s="1" t="s">
        <v>309</v>
      </c>
      <c r="C34" s="1">
        <v>26</v>
      </c>
      <c r="E34" s="1">
        <v>4</v>
      </c>
      <c r="F34" s="3">
        <v>145</v>
      </c>
      <c r="G34" s="2">
        <f t="shared" si="3"/>
        <v>63.75</v>
      </c>
      <c r="H34" s="1">
        <v>14</v>
      </c>
      <c r="I34" s="1">
        <v>9</v>
      </c>
      <c r="J34" s="1">
        <v>101</v>
      </c>
      <c r="K34" s="1">
        <v>1</v>
      </c>
      <c r="L34" s="85" t="str">
        <f t="shared" si="1"/>
        <v>MD559-20T</v>
      </c>
      <c r="M34" s="157"/>
      <c r="Q34" s="1">
        <v>71</v>
      </c>
      <c r="R34" s="1">
        <v>81</v>
      </c>
      <c r="T34" s="1">
        <v>91</v>
      </c>
      <c r="W34" s="1">
        <v>101</v>
      </c>
      <c r="Z34" s="1">
        <v>111</v>
      </c>
      <c r="AB34" s="1">
        <v>121</v>
      </c>
      <c r="AC34" s="1">
        <v>131</v>
      </c>
      <c r="AD34" s="1">
        <v>141</v>
      </c>
      <c r="AE34" s="1">
        <v>151</v>
      </c>
      <c r="AF34" s="117">
        <v>161</v>
      </c>
    </row>
    <row r="35" spans="1:32" x14ac:dyDescent="0.2">
      <c r="A35" s="1" t="s">
        <v>310</v>
      </c>
      <c r="B35" s="129"/>
      <c r="C35" s="1">
        <v>18</v>
      </c>
      <c r="D35" s="122"/>
      <c r="E35" s="1">
        <v>3</v>
      </c>
      <c r="F35" s="3">
        <v>145</v>
      </c>
      <c r="G35" s="2">
        <f t="shared" si="3"/>
        <v>63.75</v>
      </c>
      <c r="H35" s="1">
        <v>12</v>
      </c>
      <c r="I35" s="1" t="s">
        <v>407</v>
      </c>
      <c r="J35" s="1">
        <v>97</v>
      </c>
      <c r="K35" s="1">
        <v>1</v>
      </c>
      <c r="L35" s="85" t="str">
        <f t="shared" si="1"/>
        <v>MD569-16T</v>
      </c>
      <c r="M35" s="133"/>
      <c r="Q35" s="1">
        <v>68</v>
      </c>
      <c r="R35" s="1">
        <v>78</v>
      </c>
      <c r="T35" s="1">
        <v>88</v>
      </c>
      <c r="W35" s="1">
        <v>98</v>
      </c>
      <c r="Z35" s="1">
        <v>108</v>
      </c>
      <c r="AB35" s="1">
        <v>118</v>
      </c>
      <c r="AC35" s="1">
        <v>128</v>
      </c>
      <c r="AD35" s="1">
        <v>138</v>
      </c>
      <c r="AE35" s="1">
        <v>148</v>
      </c>
      <c r="AF35" s="117">
        <v>158</v>
      </c>
    </row>
    <row r="36" spans="1:32" x14ac:dyDescent="0.2">
      <c r="A36" s="1" t="s">
        <v>311</v>
      </c>
      <c r="B36" s="129"/>
      <c r="C36" s="1">
        <v>20</v>
      </c>
      <c r="D36" s="122"/>
      <c r="E36" s="1">
        <v>3</v>
      </c>
      <c r="F36" s="3">
        <v>145</v>
      </c>
      <c r="G36" s="2">
        <f t="shared" si="3"/>
        <v>63.75</v>
      </c>
      <c r="H36" s="1">
        <v>12</v>
      </c>
      <c r="I36" s="1" t="s">
        <v>407</v>
      </c>
      <c r="J36" s="1">
        <v>97</v>
      </c>
      <c r="K36" s="1">
        <v>1</v>
      </c>
      <c r="L36" s="85" t="str">
        <f t="shared" si="1"/>
        <v>MD569-25T</v>
      </c>
      <c r="M36" s="133"/>
      <c r="Q36" s="1">
        <v>68</v>
      </c>
      <c r="R36" s="1">
        <v>78</v>
      </c>
      <c r="T36" s="1">
        <v>88</v>
      </c>
      <c r="W36" s="1">
        <v>98</v>
      </c>
      <c r="Z36" s="1">
        <v>108</v>
      </c>
      <c r="AB36" s="1">
        <v>118</v>
      </c>
      <c r="AC36" s="1">
        <v>128</v>
      </c>
      <c r="AD36" s="1">
        <v>138</v>
      </c>
      <c r="AE36" s="1">
        <v>148</v>
      </c>
      <c r="AF36" s="117">
        <v>158</v>
      </c>
    </row>
    <row r="37" spans="1:32" x14ac:dyDescent="0.2">
      <c r="A37" s="1" t="s">
        <v>312</v>
      </c>
      <c r="B37" s="129"/>
      <c r="C37" s="1">
        <v>20</v>
      </c>
      <c r="D37" s="122"/>
      <c r="E37" s="1">
        <v>3</v>
      </c>
      <c r="F37" s="3">
        <v>145</v>
      </c>
      <c r="G37" s="2">
        <f t="shared" si="3"/>
        <v>63.75</v>
      </c>
      <c r="H37" s="1">
        <v>12</v>
      </c>
      <c r="I37" s="1">
        <v>9</v>
      </c>
      <c r="J37" s="1">
        <v>97</v>
      </c>
      <c r="K37" s="1">
        <v>1</v>
      </c>
      <c r="L37" s="85" t="str">
        <f t="shared" si="1"/>
        <v>MD689-25T</v>
      </c>
      <c r="M37" s="133"/>
      <c r="Q37" s="1">
        <v>68</v>
      </c>
      <c r="R37" s="1">
        <v>78</v>
      </c>
      <c r="T37" s="1">
        <v>88</v>
      </c>
      <c r="W37" s="1">
        <v>98</v>
      </c>
      <c r="Z37" s="1">
        <v>108</v>
      </c>
      <c r="AB37" s="1">
        <v>118</v>
      </c>
      <c r="AC37" s="1">
        <v>128</v>
      </c>
      <c r="AD37" s="1">
        <v>138</v>
      </c>
      <c r="AE37" s="1">
        <v>148</v>
      </c>
      <c r="AF37" s="117">
        <v>158</v>
      </c>
    </row>
    <row r="38" spans="1:32" x14ac:dyDescent="0.2">
      <c r="A38" s="1" t="s">
        <v>313</v>
      </c>
      <c r="B38" s="129"/>
      <c r="C38" s="1">
        <v>26</v>
      </c>
      <c r="E38" s="1">
        <v>4</v>
      </c>
      <c r="F38" s="3">
        <v>145</v>
      </c>
      <c r="G38" s="2">
        <f t="shared" si="3"/>
        <v>63.75</v>
      </c>
      <c r="H38" s="1">
        <v>14</v>
      </c>
      <c r="I38" s="1">
        <v>9</v>
      </c>
      <c r="J38" s="1">
        <v>97</v>
      </c>
      <c r="K38" s="1">
        <v>1</v>
      </c>
      <c r="L38" s="85" t="str">
        <f t="shared" si="1"/>
        <v>MD689-40T</v>
      </c>
      <c r="M38" s="133"/>
      <c r="Q38" s="1">
        <v>68</v>
      </c>
      <c r="R38" s="1">
        <v>78</v>
      </c>
      <c r="T38" s="1">
        <v>88</v>
      </c>
      <c r="W38" s="1">
        <v>98</v>
      </c>
      <c r="Z38" s="1">
        <v>108</v>
      </c>
      <c r="AB38" s="1">
        <v>118</v>
      </c>
      <c r="AC38" s="1">
        <v>128</v>
      </c>
      <c r="AD38" s="1">
        <v>138</v>
      </c>
      <c r="AE38" s="1">
        <v>148</v>
      </c>
      <c r="AF38" s="117">
        <v>158</v>
      </c>
    </row>
    <row r="39" spans="1:32" x14ac:dyDescent="0.2">
      <c r="A39" s="1" t="s">
        <v>274</v>
      </c>
      <c r="B39" s="129"/>
      <c r="C39" s="1">
        <v>12</v>
      </c>
      <c r="E39" s="1">
        <v>1</v>
      </c>
      <c r="F39" s="3">
        <v>105</v>
      </c>
      <c r="G39" s="2">
        <f t="shared" si="3"/>
        <v>73.75</v>
      </c>
      <c r="H39" s="1">
        <v>7.5</v>
      </c>
      <c r="I39" s="1">
        <v>9</v>
      </c>
      <c r="J39" s="1">
        <v>65</v>
      </c>
      <c r="K39" s="1">
        <v>1</v>
      </c>
      <c r="L39" s="85" t="str">
        <f t="shared" si="1"/>
        <v>MDT98</v>
      </c>
      <c r="M39" s="133"/>
      <c r="O39" s="1">
        <v>45</v>
      </c>
      <c r="P39" s="1">
        <v>55</v>
      </c>
      <c r="Q39" s="1">
        <v>65</v>
      </c>
      <c r="R39" s="1">
        <v>75</v>
      </c>
      <c r="T39" s="1">
        <v>85</v>
      </c>
      <c r="W39" s="1">
        <v>95</v>
      </c>
      <c r="Z39" s="1">
        <v>105</v>
      </c>
    </row>
    <row r="40" spans="1:32" x14ac:dyDescent="0.2">
      <c r="A40" s="1" t="s">
        <v>5</v>
      </c>
      <c r="B40" s="129">
        <v>84035205</v>
      </c>
      <c r="C40" s="1">
        <v>12</v>
      </c>
      <c r="D40" s="122"/>
      <c r="E40" s="1">
        <v>2</v>
      </c>
      <c r="F40" s="3">
        <v>105</v>
      </c>
      <c r="G40" s="2">
        <f t="shared" si="3"/>
        <v>73.75</v>
      </c>
      <c r="H40" s="1">
        <v>6.5</v>
      </c>
      <c r="I40" s="1">
        <v>9</v>
      </c>
      <c r="J40" s="1">
        <v>65</v>
      </c>
      <c r="K40" s="1">
        <v>1</v>
      </c>
      <c r="L40" s="85" t="str">
        <f t="shared" ref="L40:L58" si="4">A40</f>
        <v>MDT109</v>
      </c>
      <c r="M40" s="133" t="s">
        <v>2</v>
      </c>
      <c r="O40" s="1">
        <v>45</v>
      </c>
      <c r="P40" s="1">
        <v>55</v>
      </c>
      <c r="Q40" s="1">
        <v>65</v>
      </c>
      <c r="R40" s="1">
        <v>75</v>
      </c>
      <c r="T40" s="1">
        <v>85</v>
      </c>
      <c r="W40" s="1">
        <v>95</v>
      </c>
      <c r="Z40" s="1">
        <v>105</v>
      </c>
    </row>
    <row r="41" spans="1:32" x14ac:dyDescent="0.2">
      <c r="A41" s="1" t="s">
        <v>240</v>
      </c>
      <c r="B41" s="129"/>
      <c r="C41" s="1">
        <v>12</v>
      </c>
      <c r="D41" s="122"/>
      <c r="E41" s="1">
        <v>1</v>
      </c>
      <c r="F41" s="3">
        <v>105</v>
      </c>
      <c r="G41" s="2">
        <f t="shared" si="3"/>
        <v>73.75</v>
      </c>
      <c r="H41" s="1">
        <v>7.5</v>
      </c>
      <c r="I41" s="1">
        <v>6</v>
      </c>
      <c r="J41" s="1">
        <v>65</v>
      </c>
      <c r="K41" s="1">
        <v>1</v>
      </c>
      <c r="L41" s="85" t="str">
        <f t="shared" si="4"/>
        <v>MDT128</v>
      </c>
      <c r="M41" s="133"/>
      <c r="O41" s="1">
        <v>45</v>
      </c>
      <c r="P41" s="1">
        <v>55</v>
      </c>
      <c r="Q41" s="1">
        <v>65</v>
      </c>
      <c r="R41" s="1">
        <v>75</v>
      </c>
      <c r="T41" s="1">
        <v>85</v>
      </c>
      <c r="W41" s="1">
        <v>95</v>
      </c>
      <c r="Z41" s="1">
        <v>105</v>
      </c>
    </row>
    <row r="42" spans="1:32" x14ac:dyDescent="0.2">
      <c r="A42" s="1" t="s">
        <v>6</v>
      </c>
      <c r="B42" s="129">
        <v>84035205</v>
      </c>
      <c r="C42" s="1">
        <v>12</v>
      </c>
      <c r="D42" s="122"/>
      <c r="E42" s="1">
        <v>2</v>
      </c>
      <c r="F42" s="3">
        <v>105</v>
      </c>
      <c r="G42" s="2">
        <f t="shared" si="3"/>
        <v>73.75</v>
      </c>
      <c r="H42" s="1">
        <v>6.5</v>
      </c>
      <c r="I42" s="1">
        <v>9</v>
      </c>
      <c r="J42" s="1">
        <v>65</v>
      </c>
      <c r="K42" s="1">
        <v>1</v>
      </c>
      <c r="L42" s="85" t="str">
        <f t="shared" si="4"/>
        <v>MDT139</v>
      </c>
      <c r="M42" s="133" t="s">
        <v>2</v>
      </c>
      <c r="O42" s="1">
        <v>45</v>
      </c>
      <c r="P42" s="1">
        <v>55</v>
      </c>
      <c r="Q42" s="1">
        <v>65</v>
      </c>
      <c r="R42" s="1">
        <v>75</v>
      </c>
      <c r="T42" s="1">
        <v>85</v>
      </c>
      <c r="W42" s="1">
        <v>95</v>
      </c>
      <c r="Z42" s="1">
        <v>105</v>
      </c>
    </row>
    <row r="43" spans="1:32" x14ac:dyDescent="0.2">
      <c r="A43" s="1" t="s">
        <v>579</v>
      </c>
      <c r="B43" s="129"/>
      <c r="C43" s="1">
        <v>11</v>
      </c>
      <c r="D43" s="122"/>
      <c r="E43" s="1">
        <v>1</v>
      </c>
      <c r="F43" s="3">
        <v>90</v>
      </c>
      <c r="G43" s="2">
        <f t="shared" si="3"/>
        <v>77.5</v>
      </c>
      <c r="H43" s="1">
        <v>7.5</v>
      </c>
      <c r="I43" s="1">
        <v>9</v>
      </c>
      <c r="J43" s="1">
        <v>83</v>
      </c>
      <c r="K43" s="1">
        <v>0</v>
      </c>
      <c r="L43" s="85" t="str">
        <f t="shared" si="4"/>
        <v>MDT162</v>
      </c>
      <c r="M43" s="133"/>
      <c r="P43" s="1">
        <v>121</v>
      </c>
      <c r="Q43" s="1">
        <v>121</v>
      </c>
      <c r="R43" s="1">
        <v>121</v>
      </c>
      <c r="T43" s="1">
        <v>121</v>
      </c>
      <c r="W43" s="1">
        <v>121</v>
      </c>
      <c r="Z43" s="1">
        <v>121</v>
      </c>
      <c r="AB43" s="1">
        <v>121</v>
      </c>
    </row>
    <row r="44" spans="1:32" x14ac:dyDescent="0.2">
      <c r="A44" s="1" t="s">
        <v>209</v>
      </c>
      <c r="B44" s="129"/>
      <c r="C44" s="1">
        <v>13</v>
      </c>
      <c r="D44" s="122"/>
      <c r="E44" s="1">
        <v>2</v>
      </c>
      <c r="F44" s="3">
        <v>105</v>
      </c>
      <c r="G44" s="2">
        <f t="shared" si="3"/>
        <v>73.75</v>
      </c>
      <c r="H44" s="1">
        <v>7.5</v>
      </c>
      <c r="I44" s="1">
        <v>6</v>
      </c>
      <c r="J44" s="1">
        <v>70</v>
      </c>
      <c r="K44" s="1">
        <v>1</v>
      </c>
      <c r="L44" s="85" t="str">
        <f t="shared" si="4"/>
        <v>MDT178</v>
      </c>
      <c r="M44" s="133"/>
      <c r="P44" s="1">
        <v>55</v>
      </c>
      <c r="Q44" s="1">
        <v>65</v>
      </c>
      <c r="R44" s="1">
        <v>75</v>
      </c>
      <c r="T44" s="1">
        <v>85</v>
      </c>
      <c r="W44" s="1">
        <v>95</v>
      </c>
      <c r="Z44" s="1">
        <v>105</v>
      </c>
      <c r="AB44" s="1">
        <v>115</v>
      </c>
    </row>
    <row r="45" spans="1:32" x14ac:dyDescent="0.2">
      <c r="A45" s="1" t="s">
        <v>1</v>
      </c>
      <c r="B45" s="129">
        <v>84023838</v>
      </c>
      <c r="C45" s="1">
        <v>13</v>
      </c>
      <c r="D45" s="122"/>
      <c r="E45" s="1">
        <v>2</v>
      </c>
      <c r="F45" s="3">
        <v>105</v>
      </c>
      <c r="G45" s="2">
        <f t="shared" si="3"/>
        <v>73.75</v>
      </c>
      <c r="H45" s="1">
        <v>6.5</v>
      </c>
      <c r="I45" s="1">
        <v>9</v>
      </c>
      <c r="J45" s="1">
        <v>70</v>
      </c>
      <c r="K45" s="1">
        <v>1</v>
      </c>
      <c r="L45" s="85" t="str">
        <f t="shared" si="4"/>
        <v>MDT189</v>
      </c>
      <c r="M45" s="133" t="s">
        <v>2</v>
      </c>
      <c r="O45" s="1">
        <v>45</v>
      </c>
      <c r="P45" s="1">
        <v>55</v>
      </c>
      <c r="Q45" s="1">
        <v>65</v>
      </c>
      <c r="R45" s="1">
        <v>75</v>
      </c>
      <c r="T45" s="1">
        <v>85</v>
      </c>
      <c r="W45" s="1">
        <v>95</v>
      </c>
      <c r="Z45" s="1">
        <v>105</v>
      </c>
      <c r="AB45" s="1">
        <v>115</v>
      </c>
    </row>
    <row r="46" spans="1:32" x14ac:dyDescent="0.2">
      <c r="A46" s="1" t="s">
        <v>62</v>
      </c>
      <c r="B46" s="129">
        <v>82009145</v>
      </c>
      <c r="C46" s="1">
        <v>14</v>
      </c>
      <c r="D46" s="122"/>
      <c r="E46" s="1">
        <v>2</v>
      </c>
      <c r="F46" s="3">
        <v>108</v>
      </c>
      <c r="G46" s="2">
        <f t="shared" si="3"/>
        <v>73</v>
      </c>
      <c r="H46" s="1">
        <v>6.5</v>
      </c>
      <c r="I46" s="1">
        <v>6</v>
      </c>
      <c r="J46" s="1">
        <v>77</v>
      </c>
      <c r="K46" s="1">
        <v>1</v>
      </c>
      <c r="L46" s="85" t="str">
        <f t="shared" si="4"/>
        <v>MDT218-J10</v>
      </c>
      <c r="M46" s="133" t="s">
        <v>2</v>
      </c>
      <c r="O46" s="1">
        <v>45</v>
      </c>
      <c r="P46" s="1">
        <v>55</v>
      </c>
      <c r="Q46" s="1">
        <v>65</v>
      </c>
      <c r="R46" s="1">
        <v>75</v>
      </c>
      <c r="T46" s="1">
        <v>85</v>
      </c>
      <c r="W46" s="1">
        <v>95</v>
      </c>
      <c r="Z46" s="1">
        <v>105</v>
      </c>
      <c r="AB46" s="1">
        <v>115</v>
      </c>
      <c r="AC46" s="1">
        <v>125</v>
      </c>
    </row>
    <row r="47" spans="1:32" x14ac:dyDescent="0.2">
      <c r="A47" s="1" t="s">
        <v>250</v>
      </c>
      <c r="B47" s="129"/>
      <c r="C47" s="1">
        <v>13</v>
      </c>
      <c r="D47" s="122"/>
      <c r="E47" s="1">
        <v>2</v>
      </c>
      <c r="F47" s="3">
        <v>108</v>
      </c>
      <c r="G47" s="2">
        <f t="shared" si="3"/>
        <v>73</v>
      </c>
      <c r="H47" s="1">
        <v>6.5</v>
      </c>
      <c r="I47" s="1">
        <v>6</v>
      </c>
      <c r="J47" s="1">
        <v>77</v>
      </c>
      <c r="K47" s="1">
        <v>1</v>
      </c>
      <c r="L47" s="85" t="str">
        <f t="shared" si="4"/>
        <v>MDT218-J8</v>
      </c>
      <c r="M47" s="133"/>
      <c r="P47" s="1">
        <v>55</v>
      </c>
      <c r="Q47" s="1">
        <v>65</v>
      </c>
      <c r="R47" s="1">
        <v>75</v>
      </c>
      <c r="T47" s="1">
        <v>85</v>
      </c>
      <c r="W47" s="1">
        <v>95</v>
      </c>
      <c r="Z47" s="1">
        <v>105</v>
      </c>
      <c r="AB47" s="1">
        <v>115</v>
      </c>
      <c r="AC47" s="1">
        <v>125</v>
      </c>
    </row>
    <row r="48" spans="1:32" x14ac:dyDescent="0.2">
      <c r="A48" s="1" t="s">
        <v>8</v>
      </c>
      <c r="B48" s="129">
        <v>84023839</v>
      </c>
      <c r="C48" s="1">
        <v>14</v>
      </c>
      <c r="D48" s="122"/>
      <c r="E48" s="1">
        <v>2</v>
      </c>
      <c r="F48" s="3">
        <v>108</v>
      </c>
      <c r="G48" s="2">
        <f t="shared" si="3"/>
        <v>73</v>
      </c>
      <c r="H48" s="1">
        <v>6.5</v>
      </c>
      <c r="I48" s="1">
        <v>9</v>
      </c>
      <c r="J48" s="1">
        <v>77</v>
      </c>
      <c r="K48" s="1">
        <v>1</v>
      </c>
      <c r="L48" s="85" t="str">
        <f t="shared" si="4"/>
        <v>MDT219-J10</v>
      </c>
      <c r="M48" s="133" t="s">
        <v>2</v>
      </c>
      <c r="O48" s="1">
        <v>45</v>
      </c>
      <c r="P48" s="1">
        <v>55</v>
      </c>
      <c r="Q48" s="1">
        <v>65</v>
      </c>
      <c r="R48" s="1">
        <v>75</v>
      </c>
      <c r="T48" s="1">
        <v>85</v>
      </c>
      <c r="W48" s="1">
        <v>95</v>
      </c>
      <c r="Z48" s="1">
        <v>105</v>
      </c>
      <c r="AB48" s="1">
        <v>115</v>
      </c>
      <c r="AC48" s="1">
        <v>125</v>
      </c>
    </row>
    <row r="49" spans="1:30" x14ac:dyDescent="0.2">
      <c r="A49" s="1" t="s">
        <v>7</v>
      </c>
      <c r="B49" s="129">
        <v>84023838</v>
      </c>
      <c r="C49" s="1">
        <v>13</v>
      </c>
      <c r="D49" s="122"/>
      <c r="E49" s="1">
        <v>2</v>
      </c>
      <c r="F49" s="3">
        <v>108</v>
      </c>
      <c r="G49" s="2">
        <f t="shared" si="3"/>
        <v>73</v>
      </c>
      <c r="H49" s="1">
        <v>6.5</v>
      </c>
      <c r="I49" s="1">
        <v>9</v>
      </c>
      <c r="J49" s="1">
        <v>77</v>
      </c>
      <c r="K49" s="1">
        <v>1</v>
      </c>
      <c r="L49" s="85" t="str">
        <f t="shared" si="4"/>
        <v>MDT219-J8</v>
      </c>
      <c r="M49" s="133" t="s">
        <v>2</v>
      </c>
      <c r="O49" s="1">
        <v>45</v>
      </c>
      <c r="P49" s="1">
        <v>55</v>
      </c>
      <c r="Q49" s="1">
        <v>65</v>
      </c>
      <c r="R49" s="1">
        <v>75</v>
      </c>
      <c r="T49" s="1">
        <v>85</v>
      </c>
      <c r="W49" s="1">
        <v>95</v>
      </c>
      <c r="Z49" s="1">
        <v>105</v>
      </c>
      <c r="AB49" s="1">
        <v>115</v>
      </c>
      <c r="AC49" s="1">
        <v>125</v>
      </c>
    </row>
    <row r="50" spans="1:30" x14ac:dyDescent="0.2">
      <c r="A50" s="1" t="s">
        <v>160</v>
      </c>
      <c r="B50" s="129">
        <v>84058877</v>
      </c>
      <c r="C50" s="1">
        <v>14</v>
      </c>
      <c r="D50" s="122" t="s">
        <v>161</v>
      </c>
      <c r="E50" s="1">
        <v>3</v>
      </c>
      <c r="F50" s="3">
        <v>95</v>
      </c>
      <c r="G50" s="2">
        <f t="shared" si="3"/>
        <v>76.25</v>
      </c>
      <c r="I50" s="1" t="s">
        <v>620</v>
      </c>
      <c r="L50" s="85" t="str">
        <f t="shared" si="4"/>
        <v>MDT222-J12</v>
      </c>
      <c r="M50" s="133" t="s">
        <v>15</v>
      </c>
    </row>
    <row r="51" spans="1:30" x14ac:dyDescent="0.2">
      <c r="A51" s="1" t="s">
        <v>414</v>
      </c>
      <c r="B51" s="129"/>
      <c r="C51" s="1">
        <v>14</v>
      </c>
      <c r="D51" s="122"/>
      <c r="E51" s="1">
        <v>2</v>
      </c>
      <c r="F51" s="3">
        <v>115</v>
      </c>
      <c r="G51" s="2">
        <f t="shared" si="3"/>
        <v>71.25</v>
      </c>
      <c r="H51" s="1">
        <v>7.5</v>
      </c>
      <c r="I51" s="1">
        <v>6</v>
      </c>
      <c r="J51" s="1">
        <v>85</v>
      </c>
      <c r="K51" s="1">
        <v>1</v>
      </c>
      <c r="L51" s="85" t="str">
        <f t="shared" si="4"/>
        <v>MDT248-J10</v>
      </c>
      <c r="M51" s="133"/>
      <c r="P51" s="1">
        <v>65</v>
      </c>
      <c r="Q51" s="1">
        <v>75</v>
      </c>
      <c r="R51" s="1">
        <v>85</v>
      </c>
      <c r="T51" s="1">
        <v>95</v>
      </c>
      <c r="W51" s="1">
        <v>105</v>
      </c>
      <c r="Z51" s="1">
        <v>115</v>
      </c>
      <c r="AB51" s="1">
        <v>125</v>
      </c>
      <c r="AC51" s="1">
        <v>135</v>
      </c>
    </row>
    <row r="52" spans="1:30" x14ac:dyDescent="0.2">
      <c r="A52" s="1" t="s">
        <v>611</v>
      </c>
      <c r="B52" s="129"/>
      <c r="C52" s="1">
        <v>16</v>
      </c>
      <c r="D52" s="122"/>
      <c r="E52" s="1">
        <v>2</v>
      </c>
      <c r="F52" s="3">
        <v>115</v>
      </c>
      <c r="G52" s="2">
        <f t="shared" si="3"/>
        <v>71.25</v>
      </c>
      <c r="H52" s="1">
        <v>7.5</v>
      </c>
      <c r="I52" s="1">
        <v>6</v>
      </c>
      <c r="J52" s="1">
        <v>85</v>
      </c>
      <c r="K52" s="1">
        <v>1</v>
      </c>
      <c r="L52" s="85" t="str">
        <f t="shared" si="4"/>
        <v>MDT248-J12</v>
      </c>
      <c r="M52" s="133"/>
      <c r="P52" s="1">
        <v>65</v>
      </c>
      <c r="Q52" s="1">
        <v>75</v>
      </c>
      <c r="R52" s="1">
        <v>85</v>
      </c>
      <c r="T52" s="1">
        <v>95</v>
      </c>
      <c r="W52" s="1">
        <v>105</v>
      </c>
      <c r="Z52" s="1">
        <v>115</v>
      </c>
      <c r="AB52" s="1">
        <v>125</v>
      </c>
      <c r="AC52" s="1">
        <v>135</v>
      </c>
    </row>
    <row r="53" spans="1:30" x14ac:dyDescent="0.2">
      <c r="A53" s="1" t="s">
        <v>9</v>
      </c>
      <c r="B53" s="129">
        <v>84023839</v>
      </c>
      <c r="C53" s="1">
        <v>14</v>
      </c>
      <c r="D53" s="122"/>
      <c r="E53" s="1">
        <v>2</v>
      </c>
      <c r="F53" s="3">
        <v>115</v>
      </c>
      <c r="G53" s="2">
        <f t="shared" si="3"/>
        <v>71.25</v>
      </c>
      <c r="H53" s="1">
        <v>7.5</v>
      </c>
      <c r="I53" s="1">
        <v>9</v>
      </c>
      <c r="J53" s="1">
        <v>85</v>
      </c>
      <c r="K53" s="1">
        <v>1</v>
      </c>
      <c r="L53" s="85" t="str">
        <f t="shared" si="4"/>
        <v>MDT249-J10</v>
      </c>
      <c r="M53" s="133" t="s">
        <v>15</v>
      </c>
      <c r="O53" s="1">
        <v>55</v>
      </c>
      <c r="P53" s="1">
        <v>65</v>
      </c>
      <c r="Q53" s="1">
        <v>75</v>
      </c>
      <c r="R53" s="1">
        <v>85</v>
      </c>
      <c r="T53" s="1">
        <v>95</v>
      </c>
      <c r="W53" s="1">
        <v>105</v>
      </c>
      <c r="Z53" s="1">
        <v>115</v>
      </c>
      <c r="AB53" s="1">
        <v>125</v>
      </c>
      <c r="AC53" s="1">
        <v>135</v>
      </c>
    </row>
    <row r="54" spans="1:30" x14ac:dyDescent="0.2">
      <c r="A54" s="1" t="s">
        <v>10</v>
      </c>
      <c r="B54" s="129">
        <v>84023840</v>
      </c>
      <c r="C54" s="1">
        <v>16</v>
      </c>
      <c r="D54" s="122"/>
      <c r="E54" s="1">
        <v>2</v>
      </c>
      <c r="F54" s="3">
        <v>115</v>
      </c>
      <c r="G54" s="2">
        <f t="shared" si="3"/>
        <v>71.25</v>
      </c>
      <c r="H54" s="1">
        <v>7.5</v>
      </c>
      <c r="I54" s="1">
        <v>9</v>
      </c>
      <c r="J54" s="1">
        <v>85</v>
      </c>
      <c r="K54" s="1">
        <v>1</v>
      </c>
      <c r="L54" s="85" t="str">
        <f t="shared" si="4"/>
        <v>MDT249-J12</v>
      </c>
      <c r="M54" s="133" t="s">
        <v>15</v>
      </c>
      <c r="O54" s="1">
        <v>55</v>
      </c>
      <c r="P54" s="1">
        <v>65</v>
      </c>
      <c r="Q54" s="1">
        <v>75</v>
      </c>
      <c r="R54" s="1">
        <v>85</v>
      </c>
      <c r="T54" s="1">
        <v>95</v>
      </c>
      <c r="W54" s="1">
        <v>105</v>
      </c>
      <c r="Z54" s="1">
        <v>115</v>
      </c>
      <c r="AB54" s="1">
        <v>125</v>
      </c>
      <c r="AC54" s="1">
        <v>135</v>
      </c>
    </row>
    <row r="55" spans="1:30" x14ac:dyDescent="0.2">
      <c r="A55" s="1" t="s">
        <v>11</v>
      </c>
      <c r="B55" s="129">
        <v>84058877</v>
      </c>
      <c r="C55" s="1">
        <v>14</v>
      </c>
      <c r="D55" s="122"/>
      <c r="E55" s="1">
        <v>2</v>
      </c>
      <c r="F55" s="3">
        <v>115</v>
      </c>
      <c r="G55" s="2">
        <f t="shared" si="3"/>
        <v>71.25</v>
      </c>
      <c r="H55" s="1">
        <v>7.5</v>
      </c>
      <c r="I55" s="1">
        <v>9</v>
      </c>
      <c r="J55" s="1">
        <v>85</v>
      </c>
      <c r="K55" s="1">
        <v>1</v>
      </c>
      <c r="L55" s="85" t="str">
        <f t="shared" si="4"/>
        <v>MDT259-J10</v>
      </c>
      <c r="M55" s="133" t="s">
        <v>15</v>
      </c>
      <c r="O55" s="1">
        <v>55</v>
      </c>
      <c r="P55" s="1">
        <v>65</v>
      </c>
      <c r="Q55" s="1">
        <v>75</v>
      </c>
      <c r="R55" s="1">
        <v>85</v>
      </c>
      <c r="T55" s="1">
        <v>95</v>
      </c>
      <c r="W55" s="1">
        <v>105</v>
      </c>
      <c r="Z55" s="1">
        <v>115</v>
      </c>
      <c r="AB55" s="1">
        <v>125</v>
      </c>
      <c r="AC55" s="1">
        <v>135</v>
      </c>
    </row>
    <row r="56" spans="1:30" x14ac:dyDescent="0.2">
      <c r="A56" s="1" t="s">
        <v>12</v>
      </c>
      <c r="B56" s="129">
        <v>84023840</v>
      </c>
      <c r="C56" s="1">
        <v>16</v>
      </c>
      <c r="D56" s="122"/>
      <c r="E56" s="1">
        <v>2</v>
      </c>
      <c r="F56" s="3">
        <v>115</v>
      </c>
      <c r="G56" s="2">
        <f t="shared" si="3"/>
        <v>71.25</v>
      </c>
      <c r="H56" s="1">
        <v>7.5</v>
      </c>
      <c r="I56" s="1">
        <v>9</v>
      </c>
      <c r="J56" s="1">
        <v>85</v>
      </c>
      <c r="K56" s="1">
        <v>1</v>
      </c>
      <c r="L56" s="85" t="str">
        <f t="shared" si="4"/>
        <v>MDT259-J12</v>
      </c>
      <c r="M56" s="133" t="s">
        <v>15</v>
      </c>
      <c r="O56" s="1">
        <v>55</v>
      </c>
      <c r="P56" s="1">
        <v>65</v>
      </c>
      <c r="Q56" s="1">
        <v>75</v>
      </c>
      <c r="R56" s="1">
        <v>85</v>
      </c>
      <c r="T56" s="1">
        <v>95</v>
      </c>
      <c r="W56" s="1">
        <v>105</v>
      </c>
      <c r="Z56" s="1">
        <v>115</v>
      </c>
      <c r="AB56" s="1">
        <v>125</v>
      </c>
      <c r="AC56" s="1">
        <v>135</v>
      </c>
    </row>
    <row r="57" spans="1:30" x14ac:dyDescent="0.2">
      <c r="A57" s="1" t="s">
        <v>66</v>
      </c>
      <c r="B57" s="129" t="s">
        <v>67</v>
      </c>
      <c r="C57" s="1">
        <v>14</v>
      </c>
      <c r="D57" s="122"/>
      <c r="E57" s="1">
        <v>2</v>
      </c>
      <c r="F57" s="3">
        <v>115</v>
      </c>
      <c r="G57" s="2">
        <f t="shared" si="3"/>
        <v>71.25</v>
      </c>
      <c r="H57" s="1">
        <v>7.5</v>
      </c>
      <c r="I57" s="1">
        <v>6</v>
      </c>
      <c r="J57" s="1">
        <v>85</v>
      </c>
      <c r="K57" s="1">
        <v>1</v>
      </c>
      <c r="L57" s="85" t="str">
        <f t="shared" si="4"/>
        <v>MDT268-J10</v>
      </c>
      <c r="M57" s="133" t="s">
        <v>15</v>
      </c>
      <c r="O57" s="1">
        <v>55</v>
      </c>
      <c r="P57" s="1">
        <v>65</v>
      </c>
      <c r="Q57" s="1">
        <v>75</v>
      </c>
      <c r="R57" s="1">
        <v>85</v>
      </c>
      <c r="T57" s="1">
        <v>95</v>
      </c>
      <c r="W57" s="1">
        <v>105</v>
      </c>
      <c r="Z57" s="1">
        <v>115</v>
      </c>
      <c r="AB57" s="1">
        <v>125</v>
      </c>
      <c r="AC57" s="1">
        <v>135</v>
      </c>
    </row>
    <row r="58" spans="1:30" x14ac:dyDescent="0.2">
      <c r="A58" s="1" t="s">
        <v>277</v>
      </c>
      <c r="B58" s="129"/>
      <c r="C58" s="1">
        <v>16</v>
      </c>
      <c r="D58" s="122"/>
      <c r="E58" s="1">
        <v>2</v>
      </c>
      <c r="F58" s="3">
        <v>115</v>
      </c>
      <c r="G58" s="2">
        <f t="shared" si="3"/>
        <v>71.25</v>
      </c>
      <c r="H58" s="1">
        <v>7.5</v>
      </c>
      <c r="I58" s="1">
        <v>9</v>
      </c>
      <c r="J58" s="1">
        <v>85</v>
      </c>
      <c r="K58" s="1">
        <v>1</v>
      </c>
      <c r="L58" s="85" t="str">
        <f t="shared" si="4"/>
        <v>MDT268-J12</v>
      </c>
      <c r="M58" s="133"/>
      <c r="O58" s="1">
        <v>55</v>
      </c>
      <c r="P58" s="1">
        <v>65</v>
      </c>
      <c r="Q58" s="1">
        <v>75</v>
      </c>
      <c r="R58" s="1">
        <v>85</v>
      </c>
      <c r="T58" s="1">
        <v>95</v>
      </c>
      <c r="W58" s="1">
        <v>105</v>
      </c>
      <c r="Z58" s="1">
        <v>115</v>
      </c>
      <c r="AB58" s="1">
        <v>125</v>
      </c>
      <c r="AC58" s="1">
        <v>135</v>
      </c>
    </row>
    <row r="59" spans="1:30" x14ac:dyDescent="0.2">
      <c r="A59" s="1" t="s">
        <v>13</v>
      </c>
      <c r="B59" s="129">
        <v>84023839</v>
      </c>
      <c r="C59" s="1">
        <v>14</v>
      </c>
      <c r="D59" s="122"/>
      <c r="E59" s="1">
        <v>2</v>
      </c>
      <c r="F59" s="3">
        <v>115</v>
      </c>
      <c r="G59" s="2">
        <f t="shared" si="3"/>
        <v>71.25</v>
      </c>
      <c r="H59" s="1">
        <v>7.5</v>
      </c>
      <c r="I59" s="1">
        <v>9</v>
      </c>
      <c r="J59" s="1">
        <v>85</v>
      </c>
      <c r="K59" s="1">
        <v>1</v>
      </c>
      <c r="L59" s="85" t="str">
        <f t="shared" ref="L59:L62" si="5">A59</f>
        <v>MDT269-J10</v>
      </c>
      <c r="M59" s="133" t="s">
        <v>15</v>
      </c>
      <c r="O59" s="1">
        <v>55</v>
      </c>
      <c r="P59" s="1">
        <v>65</v>
      </c>
      <c r="Q59" s="1">
        <v>75</v>
      </c>
      <c r="R59" s="1">
        <v>85</v>
      </c>
      <c r="T59" s="1">
        <v>95</v>
      </c>
      <c r="W59" s="1">
        <v>105</v>
      </c>
      <c r="Z59" s="1">
        <v>115</v>
      </c>
      <c r="AB59" s="1">
        <v>125</v>
      </c>
      <c r="AC59" s="1">
        <v>135</v>
      </c>
    </row>
    <row r="60" spans="1:30" x14ac:dyDescent="0.2">
      <c r="A60" s="1" t="s">
        <v>14</v>
      </c>
      <c r="B60" s="129">
        <v>84023840</v>
      </c>
      <c r="C60" s="1">
        <v>16</v>
      </c>
      <c r="D60" s="122"/>
      <c r="E60" s="1">
        <v>2</v>
      </c>
      <c r="F60" s="1">
        <v>115</v>
      </c>
      <c r="G60" s="2">
        <f t="shared" si="3"/>
        <v>71.25</v>
      </c>
      <c r="H60" s="1">
        <v>7.5</v>
      </c>
      <c r="I60" s="1">
        <v>9</v>
      </c>
      <c r="J60" s="1">
        <v>85</v>
      </c>
      <c r="K60" s="1">
        <v>1</v>
      </c>
      <c r="L60" s="85" t="str">
        <f t="shared" si="5"/>
        <v>MDT269-J12</v>
      </c>
      <c r="M60" s="133" t="s">
        <v>15</v>
      </c>
      <c r="O60" s="1">
        <v>55</v>
      </c>
      <c r="P60" s="1">
        <v>65</v>
      </c>
      <c r="Q60" s="1">
        <v>75</v>
      </c>
      <c r="R60" s="1">
        <v>85</v>
      </c>
      <c r="T60" s="1">
        <v>95</v>
      </c>
      <c r="W60" s="1">
        <v>105</v>
      </c>
      <c r="Z60" s="1">
        <v>115</v>
      </c>
      <c r="AB60" s="1">
        <v>125</v>
      </c>
      <c r="AC60" s="1">
        <v>135</v>
      </c>
    </row>
    <row r="61" spans="1:30" x14ac:dyDescent="0.2">
      <c r="A61" s="1" t="s">
        <v>300</v>
      </c>
      <c r="B61" s="129"/>
      <c r="C61" s="1">
        <v>16</v>
      </c>
      <c r="D61" s="122"/>
      <c r="E61" s="1">
        <v>2</v>
      </c>
      <c r="F61" s="1">
        <v>120</v>
      </c>
      <c r="G61" s="2">
        <f t="shared" si="3"/>
        <v>70</v>
      </c>
      <c r="H61" s="1">
        <v>7.5</v>
      </c>
      <c r="I61" s="1">
        <v>9</v>
      </c>
      <c r="J61" s="1">
        <v>90</v>
      </c>
      <c r="K61" s="1">
        <v>1</v>
      </c>
      <c r="L61" s="85" t="str">
        <f t="shared" si="5"/>
        <v>MDT289</v>
      </c>
      <c r="M61" s="133"/>
      <c r="O61" s="1">
        <v>56</v>
      </c>
      <c r="P61" s="1">
        <v>66</v>
      </c>
      <c r="Q61" s="1">
        <v>76</v>
      </c>
      <c r="R61" s="1">
        <v>86</v>
      </c>
      <c r="T61" s="1">
        <v>96</v>
      </c>
      <c r="W61" s="1">
        <v>106</v>
      </c>
      <c r="Z61" s="1">
        <v>116</v>
      </c>
      <c r="AB61" s="1">
        <v>126</v>
      </c>
      <c r="AC61" s="1">
        <v>136</v>
      </c>
      <c r="AD61" s="1">
        <v>146</v>
      </c>
    </row>
    <row r="62" spans="1:30" x14ac:dyDescent="0.2">
      <c r="A62" s="1" t="s">
        <v>272</v>
      </c>
      <c r="B62" s="129">
        <v>84023835</v>
      </c>
      <c r="C62" s="1">
        <v>16</v>
      </c>
      <c r="D62" s="122"/>
      <c r="E62" s="1">
        <v>2</v>
      </c>
      <c r="F62" s="3">
        <v>120</v>
      </c>
      <c r="G62" s="2">
        <f t="shared" si="3"/>
        <v>70</v>
      </c>
      <c r="H62" s="1">
        <v>7.5</v>
      </c>
      <c r="I62" s="1">
        <v>6</v>
      </c>
      <c r="J62" s="1">
        <v>90</v>
      </c>
      <c r="K62" s="1">
        <v>1</v>
      </c>
      <c r="L62" s="85" t="str">
        <f t="shared" si="5"/>
        <v>MDT308</v>
      </c>
      <c r="M62" s="133" t="s">
        <v>15</v>
      </c>
      <c r="O62" s="1">
        <v>56</v>
      </c>
      <c r="P62" s="1">
        <v>66</v>
      </c>
      <c r="Q62" s="1">
        <v>76</v>
      </c>
      <c r="R62" s="1">
        <v>86</v>
      </c>
      <c r="T62" s="1">
        <v>96</v>
      </c>
      <c r="W62" s="1">
        <v>106</v>
      </c>
      <c r="Z62" s="1">
        <v>116</v>
      </c>
      <c r="AB62" s="1">
        <v>126</v>
      </c>
      <c r="AC62" s="1">
        <v>136</v>
      </c>
      <c r="AD62" s="1">
        <v>146</v>
      </c>
    </row>
    <row r="63" spans="1:30" x14ac:dyDescent="0.2">
      <c r="A63" s="1" t="s">
        <v>273</v>
      </c>
      <c r="B63" s="129">
        <v>84023835</v>
      </c>
      <c r="C63" s="1">
        <v>16</v>
      </c>
      <c r="D63" s="122"/>
      <c r="E63" s="1">
        <v>3</v>
      </c>
      <c r="F63" s="3">
        <v>120</v>
      </c>
      <c r="G63" s="2">
        <f t="shared" si="3"/>
        <v>70</v>
      </c>
      <c r="H63" s="1">
        <v>7.5</v>
      </c>
      <c r="I63" s="1">
        <v>6</v>
      </c>
      <c r="J63" s="1">
        <v>90</v>
      </c>
      <c r="K63" s="1">
        <v>1</v>
      </c>
      <c r="L63" s="85" t="str">
        <f t="shared" ref="L63:L76" si="6">A63</f>
        <v>MDT308 100LVF</v>
      </c>
      <c r="M63" s="133" t="s">
        <v>15</v>
      </c>
      <c r="O63" s="1">
        <v>56</v>
      </c>
      <c r="P63" s="1">
        <v>66</v>
      </c>
      <c r="Q63" s="1">
        <v>76</v>
      </c>
      <c r="R63" s="1">
        <v>86</v>
      </c>
      <c r="T63" s="1">
        <v>96</v>
      </c>
      <c r="W63" s="1">
        <v>106</v>
      </c>
      <c r="Z63" s="1">
        <v>116</v>
      </c>
      <c r="AB63" s="1">
        <v>126</v>
      </c>
      <c r="AC63" s="1">
        <v>136</v>
      </c>
      <c r="AD63" s="1">
        <v>146</v>
      </c>
    </row>
    <row r="64" spans="1:30" x14ac:dyDescent="0.2">
      <c r="A64" s="1" t="s">
        <v>16</v>
      </c>
      <c r="B64" s="129">
        <v>84023835</v>
      </c>
      <c r="C64" s="1">
        <v>16</v>
      </c>
      <c r="D64" s="122"/>
      <c r="E64" s="1">
        <v>3</v>
      </c>
      <c r="F64" s="1">
        <v>120</v>
      </c>
      <c r="G64" s="2">
        <f t="shared" si="3"/>
        <v>70</v>
      </c>
      <c r="H64" s="1">
        <v>7.5</v>
      </c>
      <c r="I64" s="1">
        <v>9</v>
      </c>
      <c r="J64" s="1">
        <v>90</v>
      </c>
      <c r="K64" s="1">
        <v>1</v>
      </c>
      <c r="L64" s="85" t="str">
        <f t="shared" si="6"/>
        <v>MDT319</v>
      </c>
      <c r="M64" s="133" t="s">
        <v>15</v>
      </c>
      <c r="O64" s="1">
        <v>56</v>
      </c>
      <c r="P64" s="1">
        <v>66</v>
      </c>
      <c r="Q64" s="1">
        <v>76</v>
      </c>
      <c r="R64" s="1">
        <v>86</v>
      </c>
      <c r="T64" s="1">
        <v>96</v>
      </c>
      <c r="W64" s="1">
        <v>106</v>
      </c>
      <c r="Z64" s="1">
        <v>116</v>
      </c>
      <c r="AB64" s="1">
        <v>126</v>
      </c>
      <c r="AC64" s="1">
        <v>136</v>
      </c>
      <c r="AD64" s="1">
        <v>146</v>
      </c>
    </row>
    <row r="65" spans="1:32" x14ac:dyDescent="0.2">
      <c r="A65" s="1" t="s">
        <v>17</v>
      </c>
      <c r="B65" s="129">
        <v>84023840</v>
      </c>
      <c r="C65" s="1">
        <v>16</v>
      </c>
      <c r="D65" s="122"/>
      <c r="E65" s="1">
        <v>2</v>
      </c>
      <c r="F65" s="3">
        <v>135</v>
      </c>
      <c r="G65" s="2">
        <f t="shared" si="3"/>
        <v>66.25</v>
      </c>
      <c r="H65" s="1">
        <v>9</v>
      </c>
      <c r="I65" s="1">
        <v>9</v>
      </c>
      <c r="J65" s="1">
        <v>100</v>
      </c>
      <c r="K65" s="1">
        <v>1</v>
      </c>
      <c r="L65" s="85" t="str">
        <f t="shared" si="6"/>
        <v>MDT349-L12</v>
      </c>
      <c r="M65" s="133" t="s">
        <v>21</v>
      </c>
      <c r="O65" s="1" t="s">
        <v>73</v>
      </c>
      <c r="P65" s="1">
        <v>67</v>
      </c>
      <c r="Q65" s="1">
        <v>77</v>
      </c>
      <c r="R65" s="1">
        <v>87</v>
      </c>
      <c r="T65" s="1">
        <v>97</v>
      </c>
      <c r="W65" s="1">
        <v>107</v>
      </c>
      <c r="Z65" s="1">
        <v>117</v>
      </c>
      <c r="AB65" s="1">
        <v>127</v>
      </c>
      <c r="AC65" s="1">
        <v>137</v>
      </c>
      <c r="AD65" s="1">
        <v>147</v>
      </c>
      <c r="AE65" s="1">
        <v>157</v>
      </c>
    </row>
    <row r="66" spans="1:32" x14ac:dyDescent="0.2">
      <c r="A66" s="1" t="s">
        <v>18</v>
      </c>
      <c r="B66" s="129">
        <v>84023841</v>
      </c>
      <c r="C66" s="1">
        <v>18</v>
      </c>
      <c r="D66" s="122"/>
      <c r="E66" s="1">
        <v>2</v>
      </c>
      <c r="F66" s="1">
        <v>135</v>
      </c>
      <c r="G66" s="2">
        <f t="shared" si="3"/>
        <v>66.25</v>
      </c>
      <c r="H66" s="1">
        <v>9</v>
      </c>
      <c r="I66" s="1">
        <v>9</v>
      </c>
      <c r="J66" s="1">
        <v>100</v>
      </c>
      <c r="K66" s="1">
        <v>1</v>
      </c>
      <c r="L66" s="85" t="str">
        <f t="shared" si="6"/>
        <v>MDT349-L16</v>
      </c>
      <c r="M66" s="133" t="s">
        <v>21</v>
      </c>
      <c r="O66" s="1" t="s">
        <v>73</v>
      </c>
      <c r="P66" s="1">
        <v>67</v>
      </c>
      <c r="Q66" s="1">
        <v>77</v>
      </c>
      <c r="R66" s="1">
        <v>87</v>
      </c>
      <c r="T66" s="1">
        <v>97</v>
      </c>
      <c r="W66" s="1">
        <v>107</v>
      </c>
      <c r="Z66" s="1">
        <v>117</v>
      </c>
      <c r="AB66" s="1">
        <v>127</v>
      </c>
      <c r="AC66" s="1">
        <v>137</v>
      </c>
      <c r="AD66" s="1">
        <v>147</v>
      </c>
      <c r="AE66" s="1">
        <v>157</v>
      </c>
    </row>
    <row r="67" spans="1:32" x14ac:dyDescent="0.2">
      <c r="A67" s="1" t="s">
        <v>278</v>
      </c>
      <c r="C67" s="1">
        <v>16</v>
      </c>
      <c r="E67" s="1">
        <v>2</v>
      </c>
      <c r="F67" s="1">
        <v>135</v>
      </c>
      <c r="G67" s="2">
        <f t="shared" si="3"/>
        <v>66.25</v>
      </c>
      <c r="H67" s="1">
        <v>9</v>
      </c>
      <c r="I67" s="1">
        <v>6</v>
      </c>
      <c r="J67" s="1">
        <v>100</v>
      </c>
      <c r="K67" s="1">
        <v>1</v>
      </c>
      <c r="L67" s="85" t="str">
        <f t="shared" si="6"/>
        <v>MDT368-L12</v>
      </c>
      <c r="M67" s="157"/>
      <c r="P67" s="1">
        <v>67</v>
      </c>
      <c r="Q67" s="1">
        <v>77</v>
      </c>
      <c r="R67" s="1">
        <v>87</v>
      </c>
      <c r="T67" s="1">
        <v>97</v>
      </c>
      <c r="W67" s="1">
        <v>107</v>
      </c>
      <c r="Z67" s="1">
        <v>117</v>
      </c>
      <c r="AB67" s="1">
        <v>127</v>
      </c>
      <c r="AC67" s="1">
        <v>137</v>
      </c>
      <c r="AD67" s="1">
        <v>147</v>
      </c>
      <c r="AE67" s="1">
        <v>157</v>
      </c>
    </row>
    <row r="68" spans="1:32" x14ac:dyDescent="0.2">
      <c r="A68" s="1" t="s">
        <v>253</v>
      </c>
      <c r="B68" s="129">
        <v>84023841</v>
      </c>
      <c r="C68" s="1">
        <v>18</v>
      </c>
      <c r="D68" s="122"/>
      <c r="E68" s="1">
        <v>2</v>
      </c>
      <c r="F68" s="1">
        <v>130</v>
      </c>
      <c r="G68" s="2">
        <f t="shared" si="3"/>
        <v>67.5</v>
      </c>
      <c r="H68" s="1">
        <v>9</v>
      </c>
      <c r="I68" s="1">
        <v>9</v>
      </c>
      <c r="J68" s="1">
        <v>100</v>
      </c>
      <c r="K68" s="1">
        <v>1</v>
      </c>
      <c r="L68" s="85" t="str">
        <f t="shared" si="6"/>
        <v>MDT368-L16</v>
      </c>
      <c r="M68" s="133" t="s">
        <v>21</v>
      </c>
      <c r="O68" s="1" t="s">
        <v>73</v>
      </c>
      <c r="P68" s="1">
        <v>67</v>
      </c>
      <c r="Q68" s="1">
        <v>77</v>
      </c>
      <c r="R68" s="1">
        <v>87</v>
      </c>
      <c r="T68" s="1">
        <v>97</v>
      </c>
      <c r="W68" s="1">
        <v>107</v>
      </c>
      <c r="Z68" s="1">
        <v>117</v>
      </c>
      <c r="AB68" s="1">
        <v>127</v>
      </c>
      <c r="AC68" s="1">
        <v>137</v>
      </c>
      <c r="AD68" s="1">
        <v>147</v>
      </c>
      <c r="AE68" s="1">
        <v>157</v>
      </c>
    </row>
    <row r="69" spans="1:32" x14ac:dyDescent="0.2">
      <c r="A69" s="1" t="s">
        <v>19</v>
      </c>
      <c r="B69" s="129">
        <v>84023840</v>
      </c>
      <c r="C69" s="1">
        <v>16</v>
      </c>
      <c r="D69" s="122"/>
      <c r="E69" s="1">
        <v>2</v>
      </c>
      <c r="F69" s="1">
        <v>135</v>
      </c>
      <c r="G69" s="2">
        <f t="shared" si="3"/>
        <v>66.25</v>
      </c>
      <c r="H69" s="1">
        <v>9</v>
      </c>
      <c r="I69" s="1">
        <v>9</v>
      </c>
      <c r="J69" s="1">
        <v>100</v>
      </c>
      <c r="K69" s="1">
        <v>1</v>
      </c>
      <c r="L69" s="85" t="str">
        <f t="shared" si="6"/>
        <v>MDT389-L12</v>
      </c>
      <c r="M69" s="133" t="s">
        <v>21</v>
      </c>
      <c r="O69" s="1" t="s">
        <v>73</v>
      </c>
      <c r="P69" s="1">
        <v>67</v>
      </c>
      <c r="Q69" s="1">
        <v>77</v>
      </c>
      <c r="R69" s="1">
        <v>87</v>
      </c>
      <c r="T69" s="1">
        <v>97</v>
      </c>
      <c r="W69" s="1">
        <v>107</v>
      </c>
      <c r="Z69" s="1">
        <v>117</v>
      </c>
      <c r="AB69" s="1">
        <v>127</v>
      </c>
      <c r="AC69" s="1">
        <v>137</v>
      </c>
      <c r="AD69" s="1">
        <v>147</v>
      </c>
      <c r="AE69" s="1">
        <v>157</v>
      </c>
    </row>
    <row r="70" spans="1:32" x14ac:dyDescent="0.2">
      <c r="A70" s="1" t="s">
        <v>20</v>
      </c>
      <c r="B70" s="129">
        <v>84023841</v>
      </c>
      <c r="C70" s="1">
        <v>18</v>
      </c>
      <c r="D70" s="122"/>
      <c r="E70" s="1">
        <v>2</v>
      </c>
      <c r="F70" s="1">
        <v>135</v>
      </c>
      <c r="G70" s="2">
        <f t="shared" si="3"/>
        <v>66.25</v>
      </c>
      <c r="H70" s="1">
        <v>9</v>
      </c>
      <c r="I70" s="1">
        <v>9</v>
      </c>
      <c r="J70" s="1">
        <v>100</v>
      </c>
      <c r="K70" s="1">
        <v>1</v>
      </c>
      <c r="L70" s="85" t="str">
        <f t="shared" si="6"/>
        <v>MDT389-L16</v>
      </c>
      <c r="M70" s="133" t="s">
        <v>21</v>
      </c>
      <c r="O70" s="1" t="s">
        <v>73</v>
      </c>
      <c r="P70" s="1">
        <v>67</v>
      </c>
      <c r="Q70" s="1">
        <v>77</v>
      </c>
      <c r="R70" s="1">
        <v>87</v>
      </c>
      <c r="T70" s="1">
        <v>97</v>
      </c>
      <c r="W70" s="1">
        <v>107</v>
      </c>
      <c r="Z70" s="1">
        <v>117</v>
      </c>
      <c r="AB70" s="1">
        <v>127</v>
      </c>
      <c r="AC70" s="1">
        <v>137</v>
      </c>
      <c r="AD70" s="1">
        <v>147</v>
      </c>
      <c r="AE70" s="1">
        <v>157</v>
      </c>
    </row>
    <row r="71" spans="1:32" x14ac:dyDescent="0.2">
      <c r="A71" s="1" t="s">
        <v>573</v>
      </c>
      <c r="B71" s="129"/>
      <c r="C71" s="1">
        <v>20</v>
      </c>
      <c r="D71" s="122"/>
      <c r="E71" s="190">
        <v>7</v>
      </c>
      <c r="F71" s="1">
        <v>150</v>
      </c>
      <c r="G71" s="2">
        <f t="shared" si="3"/>
        <v>62.5</v>
      </c>
      <c r="H71" s="1">
        <v>12</v>
      </c>
      <c r="I71" s="1" t="s">
        <v>407</v>
      </c>
      <c r="J71" s="1">
        <v>101</v>
      </c>
      <c r="K71" s="1">
        <v>0</v>
      </c>
      <c r="L71" s="85" t="str">
        <f t="shared" si="6"/>
        <v>MDT489-M25</v>
      </c>
      <c r="M71" s="133"/>
      <c r="P71" s="1">
        <v>56</v>
      </c>
      <c r="Q71" s="1">
        <v>66</v>
      </c>
      <c r="R71" s="1">
        <v>76</v>
      </c>
      <c r="T71" s="1">
        <v>86</v>
      </c>
      <c r="W71" s="1">
        <v>96</v>
      </c>
      <c r="Z71" s="1">
        <v>106</v>
      </c>
      <c r="AB71" s="1">
        <v>116</v>
      </c>
      <c r="AC71" s="1">
        <v>126</v>
      </c>
      <c r="AD71" s="1">
        <v>136</v>
      </c>
      <c r="AE71" s="1">
        <v>146</v>
      </c>
      <c r="AF71" s="117">
        <v>156</v>
      </c>
    </row>
    <row r="72" spans="1:32" x14ac:dyDescent="0.2">
      <c r="A72" s="1" t="s">
        <v>734</v>
      </c>
      <c r="B72" s="129"/>
      <c r="C72" s="1">
        <v>20</v>
      </c>
      <c r="D72" s="122"/>
      <c r="E72" s="190">
        <v>7</v>
      </c>
      <c r="F72" s="1">
        <v>157</v>
      </c>
      <c r="G72" s="2">
        <f t="shared" si="3"/>
        <v>60.75</v>
      </c>
      <c r="H72" s="1">
        <v>12</v>
      </c>
      <c r="I72" s="1" t="s">
        <v>407</v>
      </c>
      <c r="J72" s="1">
        <v>124</v>
      </c>
      <c r="K72" s="1">
        <v>0</v>
      </c>
      <c r="L72" s="85" t="str">
        <f t="shared" si="6"/>
        <v>MDT569-M25</v>
      </c>
      <c r="M72" s="133"/>
      <c r="P72" s="1">
        <v>59</v>
      </c>
      <c r="Q72" s="1">
        <v>69</v>
      </c>
      <c r="R72" s="1">
        <v>79</v>
      </c>
      <c r="T72" s="1">
        <v>89</v>
      </c>
      <c r="W72" s="1">
        <v>99</v>
      </c>
      <c r="Z72" s="1">
        <v>109</v>
      </c>
      <c r="AB72" s="1">
        <v>119</v>
      </c>
      <c r="AC72" s="1">
        <v>129</v>
      </c>
      <c r="AD72" s="1">
        <v>139</v>
      </c>
      <c r="AE72" s="1">
        <v>149</v>
      </c>
      <c r="AF72" s="117">
        <v>159</v>
      </c>
    </row>
    <row r="73" spans="1:32" x14ac:dyDescent="0.2">
      <c r="A73" s="1" t="s">
        <v>735</v>
      </c>
      <c r="B73" s="129"/>
      <c r="C73" s="1">
        <v>26</v>
      </c>
      <c r="D73" s="122"/>
      <c r="E73" s="190">
        <v>7</v>
      </c>
      <c r="F73" s="1">
        <v>157</v>
      </c>
      <c r="G73" s="2">
        <f t="shared" si="3"/>
        <v>60.75</v>
      </c>
      <c r="H73" s="1">
        <v>14</v>
      </c>
      <c r="I73" s="1" t="s">
        <v>407</v>
      </c>
      <c r="J73" s="1">
        <v>124</v>
      </c>
      <c r="K73" s="1">
        <v>0</v>
      </c>
      <c r="L73" s="85" t="str">
        <f t="shared" si="6"/>
        <v>MDT569-M32</v>
      </c>
      <c r="M73" s="133"/>
      <c r="P73" s="1">
        <v>61</v>
      </c>
      <c r="Q73" s="1">
        <v>71</v>
      </c>
      <c r="R73" s="1">
        <v>81</v>
      </c>
      <c r="T73" s="1">
        <v>91</v>
      </c>
      <c r="W73" s="1">
        <v>101</v>
      </c>
      <c r="Z73" s="1">
        <v>111</v>
      </c>
      <c r="AB73" s="1">
        <v>121</v>
      </c>
      <c r="AC73" s="1">
        <v>131</v>
      </c>
      <c r="AD73" s="1">
        <v>151</v>
      </c>
      <c r="AE73" s="1">
        <v>151</v>
      </c>
      <c r="AF73" s="117">
        <v>161</v>
      </c>
    </row>
    <row r="74" spans="1:32" x14ac:dyDescent="0.2">
      <c r="A74" s="1" t="s">
        <v>275</v>
      </c>
      <c r="B74" s="129"/>
      <c r="C74" s="1">
        <v>20</v>
      </c>
      <c r="D74" s="122"/>
      <c r="E74" s="190">
        <v>7</v>
      </c>
      <c r="F74" s="1">
        <v>157</v>
      </c>
      <c r="G74" s="2">
        <f t="shared" si="3"/>
        <v>60.75</v>
      </c>
      <c r="H74" s="1">
        <v>12</v>
      </c>
      <c r="I74" s="1" t="s">
        <v>407</v>
      </c>
      <c r="J74" s="1">
        <v>120</v>
      </c>
      <c r="K74" s="1">
        <v>0</v>
      </c>
      <c r="L74" s="85" t="str">
        <f t="shared" si="6"/>
        <v>MDT809-M25</v>
      </c>
      <c r="M74" s="133"/>
      <c r="P74" s="1">
        <v>61</v>
      </c>
      <c r="Q74" s="1">
        <v>71</v>
      </c>
      <c r="R74" s="1">
        <v>81</v>
      </c>
      <c r="T74" s="1">
        <v>91</v>
      </c>
      <c r="W74" s="1">
        <v>101</v>
      </c>
      <c r="Z74" s="1">
        <v>111</v>
      </c>
      <c r="AB74" s="1">
        <v>121</v>
      </c>
      <c r="AC74" s="1">
        <v>131</v>
      </c>
      <c r="AD74" s="1">
        <v>141</v>
      </c>
      <c r="AE74" s="1">
        <v>151</v>
      </c>
      <c r="AF74" s="117">
        <v>161</v>
      </c>
    </row>
    <row r="75" spans="1:32" x14ac:dyDescent="0.2">
      <c r="A75" s="1" t="s">
        <v>736</v>
      </c>
      <c r="B75" s="129"/>
      <c r="C75" s="1">
        <v>26</v>
      </c>
      <c r="D75" s="122"/>
      <c r="E75" s="190">
        <v>7</v>
      </c>
      <c r="F75" s="1">
        <v>157</v>
      </c>
      <c r="G75" s="2">
        <f t="shared" si="3"/>
        <v>60.75</v>
      </c>
      <c r="H75" s="1">
        <v>14</v>
      </c>
      <c r="I75" s="1" t="s">
        <v>407</v>
      </c>
      <c r="J75" s="1">
        <v>122</v>
      </c>
      <c r="K75" s="1">
        <v>0</v>
      </c>
      <c r="L75" s="85" t="str">
        <f t="shared" si="6"/>
        <v>MDT809-M32</v>
      </c>
      <c r="M75" s="133"/>
      <c r="P75" s="1">
        <v>63</v>
      </c>
      <c r="Q75" s="1">
        <v>73</v>
      </c>
      <c r="R75" s="1">
        <v>83</v>
      </c>
      <c r="T75" s="1">
        <v>93</v>
      </c>
      <c r="W75" s="1">
        <v>103</v>
      </c>
      <c r="Z75" s="1">
        <v>113</v>
      </c>
      <c r="AB75" s="1">
        <v>123</v>
      </c>
      <c r="AC75" s="1">
        <v>133</v>
      </c>
      <c r="AD75" s="1">
        <v>143</v>
      </c>
      <c r="AE75" s="1">
        <v>153</v>
      </c>
      <c r="AF75" s="117">
        <v>163</v>
      </c>
    </row>
    <row r="76" spans="1:32" x14ac:dyDescent="0.2">
      <c r="A76" s="1" t="s">
        <v>301</v>
      </c>
      <c r="B76" s="129"/>
      <c r="C76" s="1">
        <v>26</v>
      </c>
      <c r="D76" s="122"/>
      <c r="E76" s="190">
        <v>7</v>
      </c>
      <c r="F76" s="1">
        <v>157</v>
      </c>
      <c r="G76" s="2">
        <f t="shared" si="3"/>
        <v>60.75</v>
      </c>
      <c r="H76" s="1">
        <v>14</v>
      </c>
      <c r="I76" s="1" t="s">
        <v>407</v>
      </c>
      <c r="J76" s="1">
        <v>122</v>
      </c>
      <c r="K76" s="1">
        <v>0</v>
      </c>
      <c r="L76" s="85" t="str">
        <f t="shared" si="6"/>
        <v>MDT809-M40</v>
      </c>
      <c r="M76" s="133"/>
      <c r="P76" s="1">
        <v>63</v>
      </c>
      <c r="Q76" s="1">
        <v>73</v>
      </c>
      <c r="R76" s="1">
        <v>83</v>
      </c>
      <c r="T76" s="1">
        <v>93</v>
      </c>
      <c r="W76" s="1">
        <v>103</v>
      </c>
      <c r="Z76" s="1">
        <v>113</v>
      </c>
      <c r="AB76" s="1">
        <v>123</v>
      </c>
      <c r="AC76" s="1">
        <v>133</v>
      </c>
      <c r="AD76" s="1">
        <v>143</v>
      </c>
      <c r="AE76" s="1">
        <v>153</v>
      </c>
      <c r="AF76" s="117">
        <v>163</v>
      </c>
    </row>
    <row r="77" spans="1:32" x14ac:dyDescent="0.2">
      <c r="A77" s="1" t="s">
        <v>274</v>
      </c>
      <c r="B77" s="129">
        <v>84035205</v>
      </c>
      <c r="C77" s="1">
        <v>12</v>
      </c>
      <c r="D77" s="122"/>
      <c r="E77" s="1">
        <v>2</v>
      </c>
      <c r="F77" s="1">
        <v>105</v>
      </c>
      <c r="G77" s="2">
        <f t="shared" si="3"/>
        <v>73.75</v>
      </c>
      <c r="H77" s="1">
        <v>7.5</v>
      </c>
      <c r="I77" s="1">
        <v>6</v>
      </c>
      <c r="J77" s="1">
        <v>65</v>
      </c>
      <c r="K77" s="1">
        <v>1</v>
      </c>
      <c r="L77" s="85" t="str">
        <f t="shared" ref="L77:L80" si="7">A77</f>
        <v>MDT98</v>
      </c>
      <c r="M77" s="133" t="s">
        <v>2</v>
      </c>
      <c r="O77" s="1">
        <v>45</v>
      </c>
      <c r="P77" s="1">
        <v>55</v>
      </c>
      <c r="Q77" s="1">
        <v>65</v>
      </c>
      <c r="R77" s="1">
        <v>75</v>
      </c>
      <c r="T77" s="1">
        <v>85</v>
      </c>
      <c r="W77" s="1">
        <v>95</v>
      </c>
      <c r="Z77" s="1">
        <v>105</v>
      </c>
    </row>
    <row r="78" spans="1:32" x14ac:dyDescent="0.2">
      <c r="A78" s="1" t="s">
        <v>622</v>
      </c>
      <c r="B78" s="122"/>
      <c r="C78" s="1">
        <v>10</v>
      </c>
      <c r="D78" s="122"/>
      <c r="E78" s="1">
        <v>2</v>
      </c>
      <c r="F78" s="1">
        <v>95</v>
      </c>
      <c r="G78" s="2">
        <f t="shared" si="3"/>
        <v>76.25</v>
      </c>
      <c r="H78" s="1">
        <v>6</v>
      </c>
      <c r="I78" s="1">
        <v>6</v>
      </c>
      <c r="J78" s="1">
        <v>61</v>
      </c>
      <c r="K78" s="1">
        <v>1</v>
      </c>
      <c r="L78" s="85" t="str">
        <f t="shared" si="7"/>
        <v>SP85 3D2V5</v>
      </c>
      <c r="M78" s="133"/>
      <c r="N78" s="1">
        <v>38</v>
      </c>
      <c r="O78" s="1">
        <v>48</v>
      </c>
      <c r="P78" s="1">
        <v>58</v>
      </c>
      <c r="Q78" s="1">
        <v>68</v>
      </c>
      <c r="R78" s="1">
        <v>78</v>
      </c>
      <c r="T78" s="1">
        <v>88</v>
      </c>
      <c r="W78" s="1">
        <v>98</v>
      </c>
    </row>
    <row r="79" spans="1:32" x14ac:dyDescent="0.2">
      <c r="A79" s="1" t="s">
        <v>621</v>
      </c>
      <c r="B79" s="122"/>
      <c r="C79" s="1">
        <v>10</v>
      </c>
      <c r="D79" s="122"/>
      <c r="E79" s="1">
        <v>2</v>
      </c>
      <c r="F79" s="1">
        <v>95</v>
      </c>
      <c r="G79" s="2">
        <f t="shared" si="3"/>
        <v>76.25</v>
      </c>
      <c r="H79" s="1">
        <v>7.5</v>
      </c>
      <c r="I79" s="1">
        <v>6</v>
      </c>
      <c r="J79" s="1">
        <v>61</v>
      </c>
      <c r="K79" s="1">
        <v>1</v>
      </c>
      <c r="L79" s="85" t="str">
        <f t="shared" si="7"/>
        <v>SP85 4D3V3</v>
      </c>
      <c r="M79" s="133"/>
      <c r="N79" s="1">
        <v>38</v>
      </c>
      <c r="O79" s="1">
        <v>48</v>
      </c>
      <c r="P79" s="1">
        <v>58</v>
      </c>
      <c r="Q79" s="1">
        <v>68</v>
      </c>
      <c r="R79" s="1">
        <v>78</v>
      </c>
      <c r="T79" s="1">
        <v>88</v>
      </c>
      <c r="W79" s="1">
        <v>98</v>
      </c>
    </row>
    <row r="80" spans="1:32" x14ac:dyDescent="0.2">
      <c r="A80" s="1" t="s">
        <v>367</v>
      </c>
      <c r="B80" s="129"/>
      <c r="C80" s="1">
        <v>12</v>
      </c>
      <c r="D80" s="122"/>
      <c r="E80" s="1">
        <v>1</v>
      </c>
      <c r="F80" s="2">
        <v>105</v>
      </c>
      <c r="G80" s="2">
        <f t="shared" si="3"/>
        <v>73.75</v>
      </c>
      <c r="H80" s="1">
        <v>7.5</v>
      </c>
      <c r="I80" s="1">
        <v>6</v>
      </c>
      <c r="J80" s="1">
        <v>67.5</v>
      </c>
      <c r="K80" s="1">
        <v>1</v>
      </c>
      <c r="L80" s="85" t="str">
        <f t="shared" si="7"/>
        <v>MD125 A/B</v>
      </c>
      <c r="M80" s="133"/>
      <c r="P80" s="1">
        <v>53</v>
      </c>
      <c r="Q80" s="1">
        <v>63</v>
      </c>
      <c r="R80" s="1">
        <v>73</v>
      </c>
      <c r="T80" s="1">
        <v>83</v>
      </c>
      <c r="W80" s="1">
        <v>93</v>
      </c>
      <c r="Z80" s="1">
        <v>103</v>
      </c>
      <c r="AA80" s="1">
        <v>108</v>
      </c>
    </row>
    <row r="81" spans="2:13" x14ac:dyDescent="0.2">
      <c r="B81" s="129"/>
      <c r="D81" s="122"/>
      <c r="L81" s="85">
        <f t="shared" ref="L81:L144" si="8">A81</f>
        <v>0</v>
      </c>
      <c r="M81" s="133"/>
    </row>
    <row r="82" spans="2:13" x14ac:dyDescent="0.2">
      <c r="B82" s="129"/>
      <c r="D82" s="122"/>
      <c r="L82" s="85">
        <f t="shared" si="8"/>
        <v>0</v>
      </c>
      <c r="M82" s="133"/>
    </row>
    <row r="83" spans="2:13" x14ac:dyDescent="0.2">
      <c r="B83" s="129"/>
      <c r="D83" s="122"/>
      <c r="L83" s="85">
        <f t="shared" si="8"/>
        <v>0</v>
      </c>
      <c r="M83" s="133"/>
    </row>
    <row r="84" spans="2:13" x14ac:dyDescent="0.2">
      <c r="B84" s="129"/>
      <c r="D84" s="122"/>
      <c r="L84" s="85">
        <f t="shared" si="8"/>
        <v>0</v>
      </c>
      <c r="M84" s="133"/>
    </row>
    <row r="85" spans="2:13" x14ac:dyDescent="0.2">
      <c r="B85" s="129"/>
      <c r="D85" s="122"/>
      <c r="L85" s="85">
        <f t="shared" si="8"/>
        <v>0</v>
      </c>
      <c r="M85" s="133"/>
    </row>
    <row r="86" spans="2:13" x14ac:dyDescent="0.2">
      <c r="B86" s="129"/>
      <c r="D86" s="122"/>
      <c r="L86" s="85">
        <f t="shared" si="8"/>
        <v>0</v>
      </c>
      <c r="M86" s="133"/>
    </row>
    <row r="87" spans="2:13" x14ac:dyDescent="0.2">
      <c r="B87" s="129"/>
      <c r="D87" s="122"/>
      <c r="L87" s="85">
        <f t="shared" si="8"/>
        <v>0</v>
      </c>
      <c r="M87" s="133"/>
    </row>
    <row r="88" spans="2:13" x14ac:dyDescent="0.2">
      <c r="B88" s="129"/>
      <c r="D88" s="122"/>
      <c r="L88" s="85">
        <f t="shared" si="8"/>
        <v>0</v>
      </c>
      <c r="M88" s="133"/>
    </row>
    <row r="89" spans="2:13" x14ac:dyDescent="0.2">
      <c r="L89" s="85">
        <f t="shared" si="8"/>
        <v>0</v>
      </c>
    </row>
    <row r="90" spans="2:13" x14ac:dyDescent="0.2">
      <c r="L90" s="85">
        <f t="shared" si="8"/>
        <v>0</v>
      </c>
    </row>
    <row r="91" spans="2:13" x14ac:dyDescent="0.2">
      <c r="B91" s="129"/>
      <c r="D91" s="122"/>
      <c r="L91" s="85">
        <f t="shared" si="8"/>
        <v>0</v>
      </c>
      <c r="M91" s="133"/>
    </row>
    <row r="92" spans="2:13" x14ac:dyDescent="0.2">
      <c r="B92" s="129"/>
      <c r="D92" s="122"/>
      <c r="L92" s="85">
        <f t="shared" si="8"/>
        <v>0</v>
      </c>
      <c r="M92" s="133"/>
    </row>
    <row r="93" spans="2:13" x14ac:dyDescent="0.2">
      <c r="B93" s="129"/>
      <c r="D93" s="122"/>
      <c r="L93" s="85">
        <f t="shared" si="8"/>
        <v>0</v>
      </c>
      <c r="M93" s="133"/>
    </row>
    <row r="94" spans="2:13" x14ac:dyDescent="0.2">
      <c r="B94" s="129"/>
      <c r="D94" s="122"/>
      <c r="L94" s="85">
        <f t="shared" si="8"/>
        <v>0</v>
      </c>
      <c r="M94" s="133"/>
    </row>
    <row r="95" spans="2:13" x14ac:dyDescent="0.2">
      <c r="B95" s="129"/>
      <c r="D95" s="122"/>
      <c r="L95" s="85">
        <f t="shared" si="8"/>
        <v>0</v>
      </c>
      <c r="M95" s="133"/>
    </row>
    <row r="96" spans="2:13" x14ac:dyDescent="0.2">
      <c r="B96" s="129"/>
      <c r="D96" s="122"/>
      <c r="L96" s="85">
        <f t="shared" si="8"/>
        <v>0</v>
      </c>
      <c r="M96" s="133"/>
    </row>
    <row r="97" spans="2:13" x14ac:dyDescent="0.2">
      <c r="B97" s="129"/>
      <c r="D97" s="122"/>
      <c r="L97" s="85">
        <f t="shared" si="8"/>
        <v>0</v>
      </c>
      <c r="M97" s="133"/>
    </row>
    <row r="98" spans="2:13" x14ac:dyDescent="0.2">
      <c r="B98" s="129"/>
      <c r="D98" s="122"/>
      <c r="L98" s="85">
        <f>A98</f>
        <v>0</v>
      </c>
    </row>
    <row r="99" spans="2:13" x14ac:dyDescent="0.2">
      <c r="L99" s="85">
        <f t="shared" si="8"/>
        <v>0</v>
      </c>
    </row>
    <row r="100" spans="2:13" x14ac:dyDescent="0.2">
      <c r="L100" s="85">
        <f t="shared" si="8"/>
        <v>0</v>
      </c>
    </row>
    <row r="101" spans="2:13" x14ac:dyDescent="0.2">
      <c r="L101" s="85">
        <f t="shared" si="8"/>
        <v>0</v>
      </c>
    </row>
    <row r="102" spans="2:13" x14ac:dyDescent="0.2">
      <c r="L102" s="85">
        <f t="shared" si="8"/>
        <v>0</v>
      </c>
    </row>
    <row r="103" spans="2:13" x14ac:dyDescent="0.2">
      <c r="L103" s="85">
        <f t="shared" si="8"/>
        <v>0</v>
      </c>
    </row>
    <row r="104" spans="2:13" x14ac:dyDescent="0.2">
      <c r="L104" s="85">
        <f t="shared" si="8"/>
        <v>0</v>
      </c>
    </row>
    <row r="105" spans="2:13" x14ac:dyDescent="0.2">
      <c r="L105" s="85">
        <f t="shared" si="8"/>
        <v>0</v>
      </c>
    </row>
    <row r="106" spans="2:13" x14ac:dyDescent="0.2">
      <c r="L106" s="85">
        <f t="shared" si="8"/>
        <v>0</v>
      </c>
    </row>
    <row r="107" spans="2:13" x14ac:dyDescent="0.2">
      <c r="L107" s="85">
        <f t="shared" si="8"/>
        <v>0</v>
      </c>
    </row>
    <row r="108" spans="2:13" x14ac:dyDescent="0.2">
      <c r="L108" s="85">
        <f t="shared" si="8"/>
        <v>0</v>
      </c>
    </row>
    <row r="109" spans="2:13" x14ac:dyDescent="0.2">
      <c r="L109" s="85">
        <f t="shared" si="8"/>
        <v>0</v>
      </c>
    </row>
    <row r="110" spans="2:13" x14ac:dyDescent="0.2">
      <c r="L110" s="85">
        <f t="shared" si="8"/>
        <v>0</v>
      </c>
    </row>
    <row r="111" spans="2:13" x14ac:dyDescent="0.2">
      <c r="L111" s="85">
        <f t="shared" si="8"/>
        <v>0</v>
      </c>
    </row>
    <row r="112" spans="2:13" x14ac:dyDescent="0.2">
      <c r="L112" s="85">
        <f t="shared" si="8"/>
        <v>0</v>
      </c>
    </row>
    <row r="113" spans="12:12" x14ac:dyDescent="0.2">
      <c r="L113" s="85">
        <f t="shared" si="8"/>
        <v>0</v>
      </c>
    </row>
    <row r="114" spans="12:12" x14ac:dyDescent="0.2">
      <c r="L114" s="85">
        <f t="shared" si="8"/>
        <v>0</v>
      </c>
    </row>
    <row r="115" spans="12:12" x14ac:dyDescent="0.2">
      <c r="L115" s="85">
        <f t="shared" si="8"/>
        <v>0</v>
      </c>
    </row>
    <row r="116" spans="12:12" x14ac:dyDescent="0.2">
      <c r="L116" s="85">
        <f t="shared" si="8"/>
        <v>0</v>
      </c>
    </row>
    <row r="117" spans="12:12" x14ac:dyDescent="0.2">
      <c r="L117" s="85">
        <f t="shared" si="8"/>
        <v>0</v>
      </c>
    </row>
    <row r="118" spans="12:12" x14ac:dyDescent="0.2">
      <c r="L118" s="85">
        <f t="shared" si="8"/>
        <v>0</v>
      </c>
    </row>
    <row r="119" spans="12:12" x14ac:dyDescent="0.2">
      <c r="L119" s="85">
        <f t="shared" si="8"/>
        <v>0</v>
      </c>
    </row>
    <row r="120" spans="12:12" x14ac:dyDescent="0.2">
      <c r="L120" s="85">
        <f t="shared" si="8"/>
        <v>0</v>
      </c>
    </row>
    <row r="121" spans="12:12" x14ac:dyDescent="0.2">
      <c r="L121" s="85">
        <f t="shared" si="8"/>
        <v>0</v>
      </c>
    </row>
    <row r="122" spans="12:12" x14ac:dyDescent="0.2">
      <c r="L122" s="85">
        <f t="shared" si="8"/>
        <v>0</v>
      </c>
    </row>
    <row r="123" spans="12:12" x14ac:dyDescent="0.2">
      <c r="L123" s="85">
        <f t="shared" si="8"/>
        <v>0</v>
      </c>
    </row>
    <row r="124" spans="12:12" x14ac:dyDescent="0.2">
      <c r="L124" s="85">
        <f t="shared" si="8"/>
        <v>0</v>
      </c>
    </row>
    <row r="125" spans="12:12" x14ac:dyDescent="0.2">
      <c r="L125" s="85">
        <f t="shared" si="8"/>
        <v>0</v>
      </c>
    </row>
    <row r="126" spans="12:12" x14ac:dyDescent="0.2">
      <c r="L126" s="85">
        <f t="shared" si="8"/>
        <v>0</v>
      </c>
    </row>
    <row r="127" spans="12:12" x14ac:dyDescent="0.2">
      <c r="L127" s="85">
        <f t="shared" si="8"/>
        <v>0</v>
      </c>
    </row>
    <row r="128" spans="12:12" x14ac:dyDescent="0.2">
      <c r="L128" s="85">
        <f t="shared" si="8"/>
        <v>0</v>
      </c>
    </row>
    <row r="129" spans="12:12" x14ac:dyDescent="0.2">
      <c r="L129" s="85">
        <f t="shared" si="8"/>
        <v>0</v>
      </c>
    </row>
    <row r="130" spans="12:12" x14ac:dyDescent="0.2">
      <c r="L130" s="85">
        <f t="shared" si="8"/>
        <v>0</v>
      </c>
    </row>
    <row r="131" spans="12:12" x14ac:dyDescent="0.2">
      <c r="L131" s="85">
        <f t="shared" si="8"/>
        <v>0</v>
      </c>
    </row>
    <row r="132" spans="12:12" x14ac:dyDescent="0.2">
      <c r="L132" s="85">
        <f t="shared" si="8"/>
        <v>0</v>
      </c>
    </row>
    <row r="133" spans="12:12" x14ac:dyDescent="0.2">
      <c r="L133" s="85">
        <f t="shared" si="8"/>
        <v>0</v>
      </c>
    </row>
    <row r="134" spans="12:12" x14ac:dyDescent="0.2">
      <c r="L134" s="85">
        <f t="shared" si="8"/>
        <v>0</v>
      </c>
    </row>
    <row r="135" spans="12:12" x14ac:dyDescent="0.2">
      <c r="L135" s="85">
        <f t="shared" si="8"/>
        <v>0</v>
      </c>
    </row>
    <row r="136" spans="12:12" x14ac:dyDescent="0.2">
      <c r="L136" s="85">
        <f t="shared" si="8"/>
        <v>0</v>
      </c>
    </row>
    <row r="137" spans="12:12" x14ac:dyDescent="0.2">
      <c r="L137" s="85">
        <f t="shared" si="8"/>
        <v>0</v>
      </c>
    </row>
    <row r="138" spans="12:12" x14ac:dyDescent="0.2">
      <c r="L138" s="85">
        <f t="shared" si="8"/>
        <v>0</v>
      </c>
    </row>
    <row r="139" spans="12:12" x14ac:dyDescent="0.2">
      <c r="L139" s="85">
        <f t="shared" si="8"/>
        <v>0</v>
      </c>
    </row>
    <row r="140" spans="12:12" x14ac:dyDescent="0.2">
      <c r="L140" s="85">
        <f t="shared" si="8"/>
        <v>0</v>
      </c>
    </row>
    <row r="141" spans="12:12" x14ac:dyDescent="0.2">
      <c r="L141" s="85">
        <f t="shared" si="8"/>
        <v>0</v>
      </c>
    </row>
    <row r="142" spans="12:12" x14ac:dyDescent="0.2">
      <c r="L142" s="85">
        <f t="shared" si="8"/>
        <v>0</v>
      </c>
    </row>
    <row r="143" spans="12:12" x14ac:dyDescent="0.2">
      <c r="L143" s="85">
        <f t="shared" si="8"/>
        <v>0</v>
      </c>
    </row>
    <row r="144" spans="12:12" x14ac:dyDescent="0.2">
      <c r="L144" s="85">
        <f t="shared" si="8"/>
        <v>0</v>
      </c>
    </row>
    <row r="145" spans="12:12" x14ac:dyDescent="0.2">
      <c r="L145" s="85">
        <f t="shared" ref="L145:L156" si="9">A145</f>
        <v>0</v>
      </c>
    </row>
    <row r="146" spans="12:12" x14ac:dyDescent="0.2">
      <c r="L146" s="85">
        <f t="shared" si="9"/>
        <v>0</v>
      </c>
    </row>
    <row r="147" spans="12:12" x14ac:dyDescent="0.2">
      <c r="L147" s="85">
        <f t="shared" si="9"/>
        <v>0</v>
      </c>
    </row>
    <row r="148" spans="12:12" x14ac:dyDescent="0.2">
      <c r="L148" s="85">
        <f t="shared" si="9"/>
        <v>0</v>
      </c>
    </row>
    <row r="149" spans="12:12" x14ac:dyDescent="0.2">
      <c r="L149" s="85">
        <f t="shared" si="9"/>
        <v>0</v>
      </c>
    </row>
    <row r="150" spans="12:12" x14ac:dyDescent="0.2">
      <c r="L150" s="85">
        <f t="shared" si="9"/>
        <v>0</v>
      </c>
    </row>
    <row r="151" spans="12:12" x14ac:dyDescent="0.2">
      <c r="L151" s="85">
        <f t="shared" si="9"/>
        <v>0</v>
      </c>
    </row>
    <row r="152" spans="12:12" x14ac:dyDescent="0.2">
      <c r="L152" s="85">
        <f t="shared" si="9"/>
        <v>0</v>
      </c>
    </row>
    <row r="153" spans="12:12" x14ac:dyDescent="0.2">
      <c r="L153" s="85">
        <f t="shared" si="9"/>
        <v>0</v>
      </c>
    </row>
    <row r="154" spans="12:12" x14ac:dyDescent="0.2">
      <c r="L154" s="85">
        <f t="shared" si="9"/>
        <v>0</v>
      </c>
    </row>
    <row r="155" spans="12:12" x14ac:dyDescent="0.2">
      <c r="L155" s="85">
        <f t="shared" si="9"/>
        <v>0</v>
      </c>
    </row>
    <row r="156" spans="12:12" x14ac:dyDescent="0.2">
      <c r="L156" s="85">
        <f t="shared" si="9"/>
        <v>0</v>
      </c>
    </row>
    <row r="157" spans="12:12" x14ac:dyDescent="0.2">
      <c r="L157" s="85"/>
    </row>
    <row r="158" spans="12:12" x14ac:dyDescent="0.2">
      <c r="L158" s="85"/>
    </row>
    <row r="159" spans="12:12" x14ac:dyDescent="0.2">
      <c r="L159" s="85"/>
    </row>
    <row r="160" spans="12:12" x14ac:dyDescent="0.2">
      <c r="L160" s="85"/>
    </row>
  </sheetData>
  <autoFilter ref="A5:AG156" xr:uid="{F3C9EFEC-14FA-412C-A321-AD96693B2468}"/>
  <sortState xmlns:xlrd2="http://schemas.microsoft.com/office/spreadsheetml/2017/richdata2" ref="A6:AF89">
    <sortCondition ref="A89"/>
  </sortState>
  <mergeCells count="2">
    <mergeCell ref="O1:AE1"/>
    <mergeCell ref="J1:K1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40B1-ED05-4AA4-8741-13152D500AA0}">
  <sheetPr codeName="Feuil10"/>
  <dimension ref="A1:AB79"/>
  <sheetViews>
    <sheetView zoomScaleNormal="100" workbookViewId="0">
      <pane ySplit="4" topLeftCell="A5" activePane="bottomLeft" state="frozen"/>
      <selection pane="bottomLeft" activeCell="B12" sqref="B12"/>
    </sheetView>
  </sheetViews>
  <sheetFormatPr baseColWidth="10" defaultRowHeight="15" x14ac:dyDescent="0.2"/>
  <cols>
    <col min="1" max="1" width="17.1640625" style="1" bestFit="1" customWidth="1"/>
    <col min="2" max="2" width="11.83203125" style="1" customWidth="1"/>
    <col min="3" max="3" width="17.5" style="1" customWidth="1"/>
    <col min="4" max="5" width="14.5" style="1" bestFit="1" customWidth="1"/>
    <col min="6" max="6" width="10.1640625" style="1" customWidth="1"/>
    <col min="7" max="7" width="6.5" style="1" customWidth="1"/>
    <col min="8" max="14" width="5.83203125" style="1" customWidth="1"/>
    <col min="15" max="15" width="8.5" style="1" bestFit="1" customWidth="1"/>
    <col min="16" max="18" width="5.83203125" style="1" customWidth="1"/>
    <col min="19" max="19" width="33.83203125" style="1" bestFit="1" customWidth="1"/>
    <col min="20" max="20" width="14.5" style="1" customWidth="1"/>
    <col min="21" max="21" width="17.5" style="1" bestFit="1" customWidth="1"/>
    <col min="22" max="22" width="27.1640625" style="1" bestFit="1" customWidth="1"/>
    <col min="23" max="23" width="11.5" style="1" customWidth="1"/>
    <col min="24" max="24" width="14.5" style="1" customWidth="1"/>
    <col min="25" max="25" width="17.5" style="1" bestFit="1" customWidth="1"/>
    <col min="26" max="26" width="17.5" style="1" customWidth="1"/>
    <col min="27" max="27" width="11.5" style="1" customWidth="1"/>
  </cols>
  <sheetData>
    <row r="1" spans="1:28" ht="32" x14ac:dyDescent="0.2">
      <c r="A1" s="178" t="s">
        <v>0</v>
      </c>
      <c r="B1" s="179" t="s">
        <v>4</v>
      </c>
      <c r="C1" s="182" t="s">
        <v>81</v>
      </c>
      <c r="D1" s="211" t="s">
        <v>386</v>
      </c>
      <c r="E1" s="177" t="s">
        <v>571</v>
      </c>
      <c r="F1" s="177" t="s">
        <v>372</v>
      </c>
      <c r="G1" s="440" t="s">
        <v>604</v>
      </c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177"/>
      <c r="T1" s="89" t="s">
        <v>4</v>
      </c>
      <c r="U1" s="89" t="s">
        <v>377</v>
      </c>
      <c r="V1" s="438" t="s">
        <v>366</v>
      </c>
      <c r="W1" s="438"/>
      <c r="X1" s="175" t="s">
        <v>4</v>
      </c>
      <c r="Y1" s="175" t="s">
        <v>377</v>
      </c>
      <c r="Z1" s="439" t="s">
        <v>366</v>
      </c>
      <c r="AA1" s="439"/>
    </row>
    <row r="2" spans="1:28" ht="20" x14ac:dyDescent="0.2">
      <c r="A2" s="178"/>
      <c r="B2" s="193" t="s">
        <v>363</v>
      </c>
      <c r="C2" s="179" t="s">
        <v>137</v>
      </c>
      <c r="D2" s="66" t="s">
        <v>589</v>
      </c>
      <c r="E2" s="183" t="s">
        <v>163</v>
      </c>
      <c r="F2" s="184" t="s">
        <v>163</v>
      </c>
      <c r="G2" s="194">
        <v>20</v>
      </c>
      <c r="H2" s="194">
        <v>30</v>
      </c>
      <c r="I2" s="194">
        <v>35</v>
      </c>
      <c r="J2" s="194">
        <v>40</v>
      </c>
      <c r="K2" s="194">
        <v>45</v>
      </c>
      <c r="L2" s="194">
        <v>50</v>
      </c>
      <c r="M2" s="194">
        <v>55</v>
      </c>
      <c r="N2" s="194">
        <v>60</v>
      </c>
      <c r="O2" s="194">
        <v>70</v>
      </c>
      <c r="P2" s="194">
        <v>80</v>
      </c>
      <c r="Q2" s="194">
        <v>90</v>
      </c>
      <c r="R2" s="194">
        <v>100</v>
      </c>
      <c r="S2" s="195" t="s">
        <v>389</v>
      </c>
      <c r="T2" s="191" t="s">
        <v>364</v>
      </c>
      <c r="U2" s="185"/>
      <c r="V2" s="89" t="s">
        <v>163</v>
      </c>
      <c r="W2" s="89" t="s">
        <v>153</v>
      </c>
      <c r="X2" s="192" t="s">
        <v>365</v>
      </c>
      <c r="Y2" s="186"/>
      <c r="Z2" s="175" t="s">
        <v>163</v>
      </c>
      <c r="AA2" s="175" t="s">
        <v>153</v>
      </c>
    </row>
    <row r="3" spans="1:28" ht="17" thickBot="1" x14ac:dyDescent="0.25">
      <c r="A3" s="180">
        <f>COUNTA(A7:A1019)</f>
        <v>12</v>
      </c>
      <c r="B3" s="181"/>
      <c r="C3" s="181"/>
      <c r="D3" s="181">
        <v>400</v>
      </c>
      <c r="E3" s="181"/>
      <c r="F3" s="181"/>
      <c r="G3" s="201" t="e">
        <f>IF(VLOOKUP('Cables métal MR'!$C6,MR_BASE,G4,0)&lt;&gt;"",G2,"")</f>
        <v>#N/A</v>
      </c>
      <c r="H3" s="201" t="e">
        <f>IF(VLOOKUP('Cables métal MR'!$C6,MR_BASE,H4,0)&lt;&gt;"",H2,"")</f>
        <v>#N/A</v>
      </c>
      <c r="I3" s="201" t="e">
        <f>IF(VLOOKUP('Cables métal MR'!$C6,MR_BASE,I4,0)&lt;&gt;"",I2,"")</f>
        <v>#N/A</v>
      </c>
      <c r="J3" s="201" t="e">
        <f>IF(VLOOKUP('Cables métal MR'!$C6,MR_BASE,J4,0)&lt;&gt;"",J2,"")</f>
        <v>#N/A</v>
      </c>
      <c r="K3" s="201" t="e">
        <f>IF(VLOOKUP('Cables métal MR'!$C6,MR_BASE,K4,0)&lt;&gt;"",K2,"")</f>
        <v>#N/A</v>
      </c>
      <c r="L3" s="201" t="e">
        <f>IF(VLOOKUP('Cables métal MR'!$C6,MR_BASE,L4,0)&lt;&gt;"",L2,"")</f>
        <v>#N/A</v>
      </c>
      <c r="M3" s="201" t="e">
        <f>IF(VLOOKUP('Cables métal MR'!$C6,MR_BASE,M4,0)&lt;&gt;"",M2,"")</f>
        <v>#N/A</v>
      </c>
      <c r="N3" s="201" t="e">
        <f>IF(VLOOKUP('Cables métal MR'!$C6,MR_BASE,N4,0)&lt;&gt;"",N2,"")</f>
        <v>#N/A</v>
      </c>
      <c r="O3" s="201" t="e">
        <f>IF(VLOOKUP('Cables métal MR'!$C6,MR_BASE,O4,0)&lt;&gt;"",O2,"")</f>
        <v>#N/A</v>
      </c>
      <c r="P3" s="201" t="e">
        <f>IF(VLOOKUP('Cables métal MR'!$C6,MR_BASE,P4,0)&lt;&gt;"",P2,"")</f>
        <v>#N/A</v>
      </c>
      <c r="Q3" s="201" t="e">
        <f>IF(VLOOKUP('Cables métal MR'!$C6,MR_BASE,Q4,0)&lt;&gt;"",Q2,"")</f>
        <v>#N/A</v>
      </c>
      <c r="R3" s="201" t="e">
        <f>IF(VLOOKUP('Cables métal MR'!$C6,MR_BASE,R4,0)&lt;&gt;"",R2,"")</f>
        <v>#N/A</v>
      </c>
      <c r="S3" s="181"/>
      <c r="T3" s="4"/>
      <c r="U3" s="4"/>
      <c r="V3" s="4"/>
      <c r="W3" s="4"/>
      <c r="X3" s="4"/>
      <c r="Y3" s="4"/>
      <c r="Z3" s="4"/>
      <c r="AA3" s="4"/>
    </row>
    <row r="4" spans="1:28" ht="16" thickTop="1" x14ac:dyDescent="0.2">
      <c r="F4" s="202"/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  <c r="O4" s="39">
        <v>15</v>
      </c>
      <c r="P4" s="39">
        <v>16</v>
      </c>
      <c r="Q4" s="39">
        <v>17</v>
      </c>
      <c r="R4" s="39">
        <v>18</v>
      </c>
      <c r="S4" s="39">
        <v>19</v>
      </c>
      <c r="T4" s="39">
        <v>20</v>
      </c>
      <c r="U4" s="39">
        <v>21</v>
      </c>
      <c r="V4" s="39">
        <v>22</v>
      </c>
      <c r="W4" s="39">
        <v>23</v>
      </c>
      <c r="X4" s="39">
        <v>24</v>
      </c>
      <c r="Y4" s="39">
        <v>25</v>
      </c>
      <c r="Z4" s="39">
        <v>26</v>
      </c>
      <c r="AA4" s="39">
        <v>27</v>
      </c>
    </row>
    <row r="5" spans="1:28" x14ac:dyDescent="0.2">
      <c r="A5" s="109"/>
      <c r="B5" s="109"/>
      <c r="C5" s="109"/>
      <c r="D5" s="109"/>
      <c r="E5" s="109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09"/>
      <c r="U5" s="109"/>
      <c r="V5" s="109"/>
      <c r="W5" s="109"/>
      <c r="X5" s="109"/>
      <c r="Y5" s="109"/>
      <c r="Z5" s="109"/>
      <c r="AA5" s="109"/>
      <c r="AB5" s="116"/>
    </row>
    <row r="6" spans="1:28" x14ac:dyDescent="0.2">
      <c r="A6" s="1" t="s">
        <v>384</v>
      </c>
      <c r="B6" s="1">
        <v>14</v>
      </c>
      <c r="C6" s="1">
        <v>3</v>
      </c>
      <c r="D6" s="1">
        <v>56</v>
      </c>
      <c r="E6" s="1">
        <v>50</v>
      </c>
      <c r="F6" s="1">
        <v>50</v>
      </c>
      <c r="H6" s="1">
        <v>127</v>
      </c>
      <c r="I6" s="1">
        <v>127</v>
      </c>
      <c r="J6" s="1">
        <v>157</v>
      </c>
      <c r="K6" s="1">
        <v>172</v>
      </c>
      <c r="L6" s="1">
        <v>187</v>
      </c>
      <c r="T6" s="1">
        <v>18</v>
      </c>
      <c r="U6" s="1" t="s">
        <v>740</v>
      </c>
      <c r="V6" s="1" t="str">
        <f>Language!$B$64</f>
        <v>Consult the bulletin on GPX3</v>
      </c>
      <c r="X6" s="1">
        <v>9</v>
      </c>
      <c r="Y6" s="1">
        <v>82002564</v>
      </c>
      <c r="Z6" s="1">
        <v>80</v>
      </c>
    </row>
    <row r="7" spans="1:28" x14ac:dyDescent="0.2">
      <c r="A7" s="1" t="s">
        <v>385</v>
      </c>
      <c r="B7" s="1">
        <v>14</v>
      </c>
      <c r="C7" s="1">
        <v>3</v>
      </c>
      <c r="D7" s="1">
        <v>56</v>
      </c>
      <c r="E7" s="1">
        <v>50</v>
      </c>
      <c r="F7" s="1">
        <v>50</v>
      </c>
      <c r="H7" s="1">
        <v>127</v>
      </c>
      <c r="I7" s="1">
        <v>127</v>
      </c>
      <c r="J7" s="1">
        <v>157</v>
      </c>
      <c r="K7" s="1">
        <v>172</v>
      </c>
      <c r="L7" s="1">
        <v>187</v>
      </c>
      <c r="T7" s="1">
        <v>18</v>
      </c>
      <c r="U7" s="1" t="s">
        <v>740</v>
      </c>
      <c r="V7" s="1" t="str">
        <f>Language!$B$64</f>
        <v>Consult the bulletin on GPX3</v>
      </c>
      <c r="X7" s="1">
        <v>9</v>
      </c>
      <c r="Y7" s="1">
        <v>82002564</v>
      </c>
      <c r="Z7" s="1">
        <v>80</v>
      </c>
    </row>
    <row r="8" spans="1:28" x14ac:dyDescent="0.2">
      <c r="A8" s="1" t="s">
        <v>381</v>
      </c>
      <c r="B8" s="1">
        <v>16</v>
      </c>
      <c r="C8" s="1">
        <v>3</v>
      </c>
      <c r="D8" s="1">
        <v>53</v>
      </c>
      <c r="E8" s="1">
        <v>55</v>
      </c>
      <c r="F8" s="1">
        <v>50</v>
      </c>
      <c r="H8" s="1">
        <v>127</v>
      </c>
      <c r="I8" s="1">
        <v>142</v>
      </c>
      <c r="J8" s="1">
        <v>157</v>
      </c>
      <c r="K8" s="1">
        <v>172</v>
      </c>
      <c r="L8" s="1">
        <v>187</v>
      </c>
      <c r="M8" s="1">
        <v>282</v>
      </c>
      <c r="T8" s="1">
        <v>18</v>
      </c>
      <c r="U8" s="1" t="s">
        <v>740</v>
      </c>
      <c r="V8" s="1" t="str">
        <f>Language!$B$64</f>
        <v>Consult the bulletin on GPX3</v>
      </c>
      <c r="X8" s="1">
        <v>9</v>
      </c>
      <c r="Y8" s="1">
        <v>82002564</v>
      </c>
      <c r="Z8" s="1">
        <v>80</v>
      </c>
    </row>
    <row r="9" spans="1:28" x14ac:dyDescent="0.2">
      <c r="A9" s="1" t="s">
        <v>382</v>
      </c>
      <c r="B9" s="1">
        <v>16</v>
      </c>
      <c r="C9" s="1">
        <v>3</v>
      </c>
      <c r="D9" s="1">
        <v>53</v>
      </c>
      <c r="E9" s="1">
        <v>55</v>
      </c>
      <c r="F9" s="1">
        <v>50</v>
      </c>
      <c r="H9" s="1">
        <v>127</v>
      </c>
      <c r="I9" s="1">
        <v>142</v>
      </c>
      <c r="J9" s="1">
        <v>157</v>
      </c>
      <c r="K9" s="1">
        <v>172</v>
      </c>
      <c r="L9" s="1">
        <v>187</v>
      </c>
      <c r="M9" s="1">
        <v>282</v>
      </c>
      <c r="T9" s="1">
        <v>18</v>
      </c>
      <c r="U9" s="1" t="s">
        <v>740</v>
      </c>
      <c r="V9" s="1" t="str">
        <f>Language!$B$64</f>
        <v>Consult the bulletin on GPX3</v>
      </c>
      <c r="X9" s="1">
        <v>9</v>
      </c>
      <c r="Y9" s="1">
        <v>82002564</v>
      </c>
      <c r="Z9" s="1">
        <v>80</v>
      </c>
    </row>
    <row r="10" spans="1:28" x14ac:dyDescent="0.2">
      <c r="A10" s="1" t="s">
        <v>303</v>
      </c>
      <c r="B10" s="1">
        <v>18</v>
      </c>
      <c r="C10" s="1">
        <v>3</v>
      </c>
      <c r="D10" s="1">
        <v>65</v>
      </c>
      <c r="E10" s="1">
        <v>60</v>
      </c>
      <c r="F10" s="1">
        <v>55</v>
      </c>
      <c r="H10" s="1">
        <v>126</v>
      </c>
      <c r="I10" s="1">
        <v>141</v>
      </c>
      <c r="J10" s="1">
        <v>156</v>
      </c>
      <c r="K10" s="1">
        <v>171</v>
      </c>
      <c r="L10" s="1">
        <v>186</v>
      </c>
      <c r="M10" s="1">
        <v>201</v>
      </c>
      <c r="N10" s="1">
        <v>216</v>
      </c>
      <c r="S10" s="12"/>
      <c r="T10" s="1">
        <v>18</v>
      </c>
      <c r="U10" s="1">
        <v>84058956</v>
      </c>
      <c r="V10" s="1">
        <v>290</v>
      </c>
      <c r="X10" s="1">
        <v>9</v>
      </c>
      <c r="Y10" s="1">
        <v>82002564</v>
      </c>
      <c r="Z10" s="1">
        <v>250</v>
      </c>
    </row>
    <row r="11" spans="1:28" x14ac:dyDescent="0.2">
      <c r="A11" s="1" t="s">
        <v>304</v>
      </c>
      <c r="B11" s="1">
        <v>20</v>
      </c>
      <c r="C11" s="1">
        <v>3</v>
      </c>
      <c r="D11" s="1">
        <v>65</v>
      </c>
      <c r="E11" s="1">
        <v>60</v>
      </c>
      <c r="F11" s="1">
        <v>55</v>
      </c>
      <c r="H11" s="1">
        <v>126</v>
      </c>
      <c r="I11" s="1">
        <v>141</v>
      </c>
      <c r="J11" s="1">
        <v>156</v>
      </c>
      <c r="K11" s="1">
        <v>171</v>
      </c>
      <c r="L11" s="1">
        <v>186</v>
      </c>
      <c r="M11" s="1">
        <v>201</v>
      </c>
      <c r="N11" s="1">
        <v>216</v>
      </c>
      <c r="S11" s="12"/>
      <c r="T11" s="1">
        <v>18</v>
      </c>
      <c r="U11" s="1">
        <v>84058956</v>
      </c>
      <c r="V11" s="1">
        <v>290</v>
      </c>
      <c r="X11" s="1">
        <v>9</v>
      </c>
      <c r="Y11" s="1">
        <v>82002564</v>
      </c>
      <c r="Z11" s="1">
        <v>250</v>
      </c>
    </row>
    <row r="12" spans="1:28" x14ac:dyDescent="0.2">
      <c r="A12" s="1" t="s">
        <v>572</v>
      </c>
      <c r="B12" s="1">
        <v>20</v>
      </c>
      <c r="C12" s="1">
        <v>3</v>
      </c>
      <c r="D12" s="1">
        <v>65</v>
      </c>
      <c r="E12" s="1">
        <v>60</v>
      </c>
      <c r="F12" s="1">
        <v>55</v>
      </c>
      <c r="H12" s="1">
        <v>126</v>
      </c>
      <c r="I12" s="1">
        <v>141</v>
      </c>
      <c r="J12" s="1">
        <v>156</v>
      </c>
      <c r="K12" s="1">
        <v>171</v>
      </c>
      <c r="L12" s="1">
        <v>186</v>
      </c>
      <c r="M12" s="1">
        <v>201</v>
      </c>
      <c r="N12" s="1">
        <v>216</v>
      </c>
      <c r="S12" s="12"/>
      <c r="T12" s="1">
        <v>18</v>
      </c>
      <c r="U12" s="1">
        <v>84058956</v>
      </c>
      <c r="V12" s="1">
        <v>290</v>
      </c>
      <c r="X12" s="1">
        <v>9</v>
      </c>
      <c r="Y12" s="1">
        <v>82002564</v>
      </c>
      <c r="Z12" s="1">
        <v>250</v>
      </c>
    </row>
    <row r="13" spans="1:28" x14ac:dyDescent="0.2">
      <c r="A13" s="1" t="s">
        <v>306</v>
      </c>
      <c r="B13" s="1">
        <v>26</v>
      </c>
      <c r="C13" s="1">
        <v>5</v>
      </c>
      <c r="D13" s="1">
        <v>79</v>
      </c>
      <c r="E13" s="176">
        <v>60</v>
      </c>
      <c r="F13" s="1">
        <v>0</v>
      </c>
      <c r="H13" s="1">
        <v>140</v>
      </c>
      <c r="J13" s="1">
        <v>165</v>
      </c>
      <c r="L13" s="1">
        <v>190</v>
      </c>
      <c r="S13" s="1" t="str">
        <f>Language!B55</f>
        <v>CRANE 1Fall / 2Falls, NOT 4Falls</v>
      </c>
      <c r="T13" s="1">
        <v>18</v>
      </c>
      <c r="U13" s="1">
        <v>84058956</v>
      </c>
      <c r="V13" s="1">
        <v>210</v>
      </c>
      <c r="X13" s="1">
        <v>9</v>
      </c>
      <c r="Y13" s="1">
        <v>82002564</v>
      </c>
      <c r="Z13" s="1">
        <v>175</v>
      </c>
    </row>
    <row r="14" spans="1:28" x14ac:dyDescent="0.2">
      <c r="A14" s="1" t="s">
        <v>737</v>
      </c>
      <c r="B14" s="1">
        <v>26</v>
      </c>
      <c r="C14" s="1">
        <v>5</v>
      </c>
      <c r="D14" s="1">
        <v>79</v>
      </c>
      <c r="E14" s="176">
        <v>60</v>
      </c>
      <c r="F14" s="1">
        <v>55</v>
      </c>
      <c r="H14" s="1">
        <v>110</v>
      </c>
      <c r="J14" s="1">
        <v>125</v>
      </c>
      <c r="K14" s="1">
        <v>135</v>
      </c>
      <c r="L14" s="1">
        <v>140</v>
      </c>
      <c r="M14" s="1">
        <v>150</v>
      </c>
      <c r="N14" s="1">
        <v>160</v>
      </c>
      <c r="T14" s="1">
        <v>18</v>
      </c>
      <c r="U14" s="1">
        <v>84058956</v>
      </c>
      <c r="V14" s="1">
        <v>210</v>
      </c>
    </row>
    <row r="15" spans="1:28" x14ac:dyDescent="0.2">
      <c r="A15" s="1" t="s">
        <v>307</v>
      </c>
      <c r="B15" s="1">
        <v>22</v>
      </c>
      <c r="C15" s="1">
        <v>5</v>
      </c>
      <c r="D15" s="1">
        <v>78</v>
      </c>
      <c r="E15" s="1">
        <v>60</v>
      </c>
      <c r="F15" s="1">
        <v>50</v>
      </c>
      <c r="H15" s="1">
        <v>130</v>
      </c>
      <c r="I15" s="1">
        <v>130</v>
      </c>
      <c r="J15" s="1">
        <v>160</v>
      </c>
      <c r="L15" s="1">
        <v>190</v>
      </c>
      <c r="N15" s="1">
        <v>220</v>
      </c>
      <c r="T15" s="1">
        <v>20</v>
      </c>
      <c r="U15" s="1">
        <v>84058957</v>
      </c>
      <c r="V15" s="1">
        <v>260</v>
      </c>
      <c r="X15" s="1">
        <v>9</v>
      </c>
      <c r="Y15" s="1">
        <v>82002564</v>
      </c>
      <c r="Z15" s="1">
        <v>175</v>
      </c>
    </row>
    <row r="16" spans="1:28" x14ac:dyDescent="0.2">
      <c r="E16" s="176"/>
    </row>
    <row r="17" spans="1:5" x14ac:dyDescent="0.2">
      <c r="A17" s="1" t="s">
        <v>308</v>
      </c>
      <c r="E17" s="176"/>
    </row>
    <row r="18" spans="1:5" x14ac:dyDescent="0.2">
      <c r="A18" s="1" t="s">
        <v>302</v>
      </c>
      <c r="E18" s="176"/>
    </row>
    <row r="19" spans="1:5" x14ac:dyDescent="0.2">
      <c r="A19" s="1" t="s">
        <v>305</v>
      </c>
      <c r="E19" s="176"/>
    </row>
    <row r="20" spans="1:5" x14ac:dyDescent="0.2">
      <c r="E20" s="176"/>
    </row>
    <row r="21" spans="1:5" x14ac:dyDescent="0.2">
      <c r="E21" s="176"/>
    </row>
    <row r="22" spans="1:5" x14ac:dyDescent="0.2">
      <c r="E22" s="176"/>
    </row>
    <row r="23" spans="1:5" x14ac:dyDescent="0.2">
      <c r="E23" s="176"/>
    </row>
    <row r="27" spans="1:5" x14ac:dyDescent="0.2">
      <c r="E27" s="176"/>
    </row>
    <row r="28" spans="1:5" x14ac:dyDescent="0.2">
      <c r="E28" s="176"/>
    </row>
    <row r="29" spans="1:5" x14ac:dyDescent="0.2">
      <c r="E29" s="176"/>
    </row>
    <row r="30" spans="1:5" x14ac:dyDescent="0.2">
      <c r="E30" s="176"/>
    </row>
    <row r="31" spans="1:5" x14ac:dyDescent="0.2">
      <c r="E31" s="176"/>
    </row>
    <row r="32" spans="1:5" x14ac:dyDescent="0.2">
      <c r="E32" s="176"/>
    </row>
    <row r="33" spans="5:5" x14ac:dyDescent="0.2">
      <c r="E33" s="176"/>
    </row>
    <row r="34" spans="5:5" x14ac:dyDescent="0.2">
      <c r="E34" s="176"/>
    </row>
    <row r="35" spans="5:5" x14ac:dyDescent="0.2">
      <c r="E35" s="176"/>
    </row>
    <row r="36" spans="5:5" x14ac:dyDescent="0.2">
      <c r="E36" s="176"/>
    </row>
    <row r="37" spans="5:5" x14ac:dyDescent="0.2">
      <c r="E37" s="176"/>
    </row>
    <row r="38" spans="5:5" x14ac:dyDescent="0.2">
      <c r="E38" s="176"/>
    </row>
    <row r="39" spans="5:5" x14ac:dyDescent="0.2">
      <c r="E39" s="176"/>
    </row>
    <row r="40" spans="5:5" x14ac:dyDescent="0.2">
      <c r="E40" s="176"/>
    </row>
    <row r="41" spans="5:5" x14ac:dyDescent="0.2">
      <c r="E41" s="176"/>
    </row>
    <row r="43" spans="5:5" x14ac:dyDescent="0.2">
      <c r="E43" s="176"/>
    </row>
    <row r="46" spans="5:5" x14ac:dyDescent="0.2">
      <c r="E46" s="176"/>
    </row>
    <row r="65" spans="5:5" x14ac:dyDescent="0.2">
      <c r="E65" s="176"/>
    </row>
    <row r="68" spans="5:5" x14ac:dyDescent="0.2">
      <c r="E68" s="176"/>
    </row>
    <row r="79" spans="5:5" x14ac:dyDescent="0.2">
      <c r="E79" s="176"/>
    </row>
  </sheetData>
  <sortState xmlns:xlrd2="http://schemas.microsoft.com/office/spreadsheetml/2017/richdata2" ref="A7:AA19">
    <sortCondition ref="A7:A19"/>
  </sortState>
  <mergeCells count="3">
    <mergeCell ref="V1:W1"/>
    <mergeCell ref="Z1:AA1"/>
    <mergeCell ref="G1:R1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0E29-741E-4E8D-A082-8911B0D2224C}">
  <sheetPr codeName="Feuil14"/>
  <dimension ref="B1:I136"/>
  <sheetViews>
    <sheetView showGridLines="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F109" sqref="F109:F111"/>
    </sheetView>
  </sheetViews>
  <sheetFormatPr baseColWidth="10" defaultColWidth="11.5" defaultRowHeight="15" x14ac:dyDescent="0.2"/>
  <cols>
    <col min="2" max="2" width="25.5" customWidth="1"/>
    <col min="3" max="3" width="18.6640625" customWidth="1"/>
    <col min="4" max="4" width="35.5" hidden="1" customWidth="1"/>
    <col min="5" max="5" width="10.6640625" hidden="1" customWidth="1"/>
    <col min="6" max="6" width="18.83203125" customWidth="1"/>
    <col min="7" max="7" width="15.6640625" customWidth="1"/>
    <col min="8" max="8" width="17.6640625" customWidth="1"/>
    <col min="9" max="9" width="24" bestFit="1" customWidth="1"/>
  </cols>
  <sheetData>
    <row r="1" spans="2:9" ht="16" thickBot="1" x14ac:dyDescent="0.25"/>
    <row r="2" spans="2:9" ht="55.75" customHeight="1" x14ac:dyDescent="0.2">
      <c r="B2" s="315"/>
      <c r="C2" s="481" t="s">
        <v>315</v>
      </c>
      <c r="D2" s="481"/>
      <c r="E2" s="481"/>
      <c r="F2" s="481"/>
      <c r="G2" s="481"/>
      <c r="H2" s="481"/>
      <c r="I2" s="316">
        <v>45056</v>
      </c>
    </row>
    <row r="3" spans="2:9" ht="102.75" customHeight="1" x14ac:dyDescent="0.2">
      <c r="B3" s="482" t="s">
        <v>623</v>
      </c>
      <c r="C3" s="483"/>
      <c r="D3" s="483"/>
      <c r="E3" s="483"/>
      <c r="F3" s="483"/>
      <c r="G3" s="483"/>
      <c r="H3" s="483"/>
      <c r="I3" s="484"/>
    </row>
    <row r="4" spans="2:9" ht="23.25" customHeight="1" thickBot="1" x14ac:dyDescent="0.25">
      <c r="B4" s="485" t="s">
        <v>346</v>
      </c>
      <c r="C4" s="486"/>
      <c r="D4" s="486"/>
      <c r="E4" s="486"/>
      <c r="F4" s="486"/>
      <c r="G4" s="486"/>
      <c r="H4" s="486"/>
      <c r="I4" s="487"/>
    </row>
    <row r="5" spans="2:9" ht="29.5" customHeight="1" thickBot="1" x14ac:dyDescent="0.25">
      <c r="B5" s="309" t="s">
        <v>69</v>
      </c>
      <c r="C5" s="494" t="s">
        <v>624</v>
      </c>
      <c r="D5" s="495"/>
      <c r="E5" s="305" t="s">
        <v>420</v>
      </c>
      <c r="F5" s="310" t="s">
        <v>316</v>
      </c>
      <c r="G5" s="311" t="s">
        <v>71</v>
      </c>
      <c r="H5" s="312" t="s">
        <v>72</v>
      </c>
      <c r="I5" s="314" t="s">
        <v>625</v>
      </c>
    </row>
    <row r="6" spans="2:9" ht="16" thickBot="1" x14ac:dyDescent="0.25">
      <c r="B6" s="317" t="s">
        <v>626</v>
      </c>
      <c r="C6" s="318" t="s">
        <v>186</v>
      </c>
      <c r="D6" s="318" t="s">
        <v>476</v>
      </c>
      <c r="E6" s="318"/>
      <c r="F6" s="303" t="s">
        <v>627</v>
      </c>
      <c r="G6" s="496"/>
      <c r="H6" s="497"/>
      <c r="I6" s="319" t="s">
        <v>628</v>
      </c>
    </row>
    <row r="7" spans="2:9" x14ac:dyDescent="0.2">
      <c r="B7" s="475" t="s">
        <v>629</v>
      </c>
      <c r="C7" s="301" t="s">
        <v>185</v>
      </c>
      <c r="D7" s="301" t="s">
        <v>474</v>
      </c>
      <c r="E7" s="313"/>
      <c r="F7" s="307" t="s">
        <v>630</v>
      </c>
      <c r="G7" s="455"/>
      <c r="H7" s="455"/>
      <c r="I7" s="488" t="s">
        <v>628</v>
      </c>
    </row>
    <row r="8" spans="2:9" ht="14.5" customHeight="1" x14ac:dyDescent="0.2">
      <c r="B8" s="476"/>
      <c r="C8" s="459" t="s">
        <v>631</v>
      </c>
      <c r="D8" s="459"/>
      <c r="E8" s="459"/>
      <c r="F8" s="459"/>
      <c r="G8" s="456"/>
      <c r="H8" s="456"/>
      <c r="I8" s="489"/>
    </row>
    <row r="9" spans="2:9" ht="16" thickBot="1" x14ac:dyDescent="0.25">
      <c r="B9" s="480"/>
      <c r="C9" s="320"/>
      <c r="D9" s="296" t="s">
        <v>463</v>
      </c>
      <c r="E9" s="308"/>
      <c r="F9" s="296" t="s">
        <v>583</v>
      </c>
      <c r="G9" s="468"/>
      <c r="H9" s="468"/>
      <c r="I9" s="490"/>
    </row>
    <row r="10" spans="2:9" x14ac:dyDescent="0.2">
      <c r="B10" s="442" t="s">
        <v>317</v>
      </c>
      <c r="C10" s="301" t="s">
        <v>318</v>
      </c>
      <c r="D10" s="301" t="s">
        <v>444</v>
      </c>
      <c r="E10" s="455"/>
      <c r="F10" s="457">
        <v>84058911</v>
      </c>
      <c r="G10" s="455"/>
      <c r="H10" s="455"/>
      <c r="I10" s="491"/>
    </row>
    <row r="11" spans="2:9" x14ac:dyDescent="0.2">
      <c r="B11" s="461"/>
      <c r="C11" s="304" t="s">
        <v>632</v>
      </c>
      <c r="D11" s="304" t="s">
        <v>633</v>
      </c>
      <c r="E11" s="460"/>
      <c r="F11" s="462"/>
      <c r="G11" s="460"/>
      <c r="H11" s="460"/>
      <c r="I11" s="492"/>
    </row>
    <row r="12" spans="2:9" x14ac:dyDescent="0.2">
      <c r="B12" s="443"/>
      <c r="C12" s="78">
        <v>84036334</v>
      </c>
      <c r="D12" s="78" t="s">
        <v>444</v>
      </c>
      <c r="E12" s="456"/>
      <c r="F12" s="458"/>
      <c r="G12" s="456"/>
      <c r="H12" s="456"/>
      <c r="I12" s="492"/>
    </row>
    <row r="13" spans="2:9" x14ac:dyDescent="0.2">
      <c r="B13" s="443"/>
      <c r="C13" s="459" t="s">
        <v>634</v>
      </c>
      <c r="D13" s="459"/>
      <c r="E13" s="459"/>
      <c r="F13" s="459"/>
      <c r="G13" s="456"/>
      <c r="H13" s="456"/>
      <c r="I13" s="492"/>
    </row>
    <row r="14" spans="2:9" ht="16" thickBot="1" x14ac:dyDescent="0.25">
      <c r="B14" s="444"/>
      <c r="C14" s="296">
        <v>84077540</v>
      </c>
      <c r="D14" s="296" t="s">
        <v>464</v>
      </c>
      <c r="E14" s="308"/>
      <c r="F14" s="296">
        <v>84077586</v>
      </c>
      <c r="G14" s="468"/>
      <c r="H14" s="468"/>
      <c r="I14" s="493"/>
    </row>
    <row r="15" spans="2:9" x14ac:dyDescent="0.2">
      <c r="B15" s="442" t="s">
        <v>319</v>
      </c>
      <c r="C15" s="301" t="s">
        <v>320</v>
      </c>
      <c r="D15" s="301" t="s">
        <v>635</v>
      </c>
      <c r="E15" s="455"/>
      <c r="F15" s="457">
        <v>84058912</v>
      </c>
      <c r="G15" s="455" t="s">
        <v>73</v>
      </c>
      <c r="H15" s="455"/>
      <c r="I15" s="491"/>
    </row>
    <row r="16" spans="2:9" x14ac:dyDescent="0.2">
      <c r="B16" s="443"/>
      <c r="C16" s="78">
        <v>84035235</v>
      </c>
      <c r="D16" s="78" t="s">
        <v>440</v>
      </c>
      <c r="E16" s="456"/>
      <c r="F16" s="458"/>
      <c r="G16" s="456"/>
      <c r="H16" s="456"/>
      <c r="I16" s="492"/>
    </row>
    <row r="17" spans="2:9" x14ac:dyDescent="0.2">
      <c r="B17" s="443"/>
      <c r="C17" s="78" t="s">
        <v>636</v>
      </c>
      <c r="D17" s="78" t="s">
        <v>637</v>
      </c>
      <c r="E17" s="456"/>
      <c r="F17" s="458"/>
      <c r="G17" s="456"/>
      <c r="H17" s="456"/>
      <c r="I17" s="492"/>
    </row>
    <row r="18" spans="2:9" x14ac:dyDescent="0.2">
      <c r="B18" s="443"/>
      <c r="C18" s="78">
        <v>84035197</v>
      </c>
      <c r="D18" s="78" t="s">
        <v>439</v>
      </c>
      <c r="E18" s="456"/>
      <c r="F18" s="458"/>
      <c r="G18" s="456"/>
      <c r="H18" s="456"/>
      <c r="I18" s="492"/>
    </row>
    <row r="19" spans="2:9" x14ac:dyDescent="0.2">
      <c r="B19" s="443"/>
      <c r="C19" s="78">
        <v>84035196</v>
      </c>
      <c r="D19" s="78" t="s">
        <v>439</v>
      </c>
      <c r="E19" s="456"/>
      <c r="F19" s="458"/>
      <c r="G19" s="456"/>
      <c r="H19" s="456"/>
      <c r="I19" s="492"/>
    </row>
    <row r="20" spans="2:9" x14ac:dyDescent="0.2">
      <c r="B20" s="443"/>
      <c r="C20" s="78">
        <v>84028398</v>
      </c>
      <c r="D20" s="78" t="s">
        <v>439</v>
      </c>
      <c r="E20" s="456"/>
      <c r="F20" s="458"/>
      <c r="G20" s="456"/>
      <c r="H20" s="456"/>
      <c r="I20" s="492"/>
    </row>
    <row r="21" spans="2:9" x14ac:dyDescent="0.2">
      <c r="B21" s="443"/>
      <c r="C21" s="459" t="s">
        <v>634</v>
      </c>
      <c r="D21" s="459"/>
      <c r="E21" s="459"/>
      <c r="F21" s="459"/>
      <c r="G21" s="456"/>
      <c r="H21" s="456"/>
      <c r="I21" s="492"/>
    </row>
    <row r="22" spans="2:9" ht="16" thickBot="1" x14ac:dyDescent="0.25">
      <c r="B22" s="444"/>
      <c r="C22" s="296">
        <v>84077541</v>
      </c>
      <c r="D22" s="296" t="s">
        <v>465</v>
      </c>
      <c r="E22" s="308"/>
      <c r="F22" s="296">
        <v>84077543</v>
      </c>
      <c r="G22" s="468"/>
      <c r="H22" s="468"/>
      <c r="I22" s="493"/>
    </row>
    <row r="23" spans="2:9" x14ac:dyDescent="0.2">
      <c r="B23" s="505" t="s">
        <v>321</v>
      </c>
      <c r="C23" s="301" t="s">
        <v>322</v>
      </c>
      <c r="D23" s="301" t="s">
        <v>638</v>
      </c>
      <c r="E23" s="455"/>
      <c r="F23" s="457">
        <v>84058913</v>
      </c>
      <c r="G23" s="455" t="s">
        <v>73</v>
      </c>
      <c r="H23" s="455"/>
      <c r="I23" s="491"/>
    </row>
    <row r="24" spans="2:9" x14ac:dyDescent="0.2">
      <c r="B24" s="506"/>
      <c r="C24" s="78" t="s">
        <v>323</v>
      </c>
      <c r="D24" s="78" t="s">
        <v>639</v>
      </c>
      <c r="E24" s="456"/>
      <c r="F24" s="458"/>
      <c r="G24" s="456"/>
      <c r="H24" s="456"/>
      <c r="I24" s="492"/>
    </row>
    <row r="25" spans="2:9" x14ac:dyDescent="0.2">
      <c r="B25" s="506"/>
      <c r="C25" s="78" t="s">
        <v>183</v>
      </c>
      <c r="D25" s="78" t="s">
        <v>477</v>
      </c>
      <c r="E25" s="456"/>
      <c r="F25" s="458"/>
      <c r="G25" s="456"/>
      <c r="H25" s="456"/>
      <c r="I25" s="492"/>
    </row>
    <row r="26" spans="2:9" x14ac:dyDescent="0.2">
      <c r="B26" s="506"/>
      <c r="C26" s="78">
        <v>84035198</v>
      </c>
      <c r="D26" s="78" t="s">
        <v>460</v>
      </c>
      <c r="E26" s="456"/>
      <c r="F26" s="458"/>
      <c r="G26" s="456"/>
      <c r="H26" s="456"/>
      <c r="I26" s="492"/>
    </row>
    <row r="27" spans="2:9" x14ac:dyDescent="0.2">
      <c r="B27" s="506"/>
      <c r="C27" s="78">
        <v>84035199</v>
      </c>
      <c r="D27" s="78" t="s">
        <v>460</v>
      </c>
      <c r="E27" s="456"/>
      <c r="F27" s="458"/>
      <c r="G27" s="456"/>
      <c r="H27" s="456"/>
      <c r="I27" s="492"/>
    </row>
    <row r="28" spans="2:9" x14ac:dyDescent="0.2">
      <c r="B28" s="506"/>
      <c r="C28" s="78">
        <v>84028399</v>
      </c>
      <c r="D28" s="78" t="s">
        <v>460</v>
      </c>
      <c r="E28" s="456"/>
      <c r="F28" s="458"/>
      <c r="G28" s="456"/>
      <c r="H28" s="456"/>
      <c r="I28" s="492"/>
    </row>
    <row r="29" spans="2:9" x14ac:dyDescent="0.2">
      <c r="B29" s="506"/>
      <c r="C29" s="78">
        <v>82002564</v>
      </c>
      <c r="D29" s="78" t="s">
        <v>430</v>
      </c>
      <c r="E29" s="456"/>
      <c r="F29" s="458"/>
      <c r="G29" s="456"/>
      <c r="H29" s="456"/>
      <c r="I29" s="492"/>
    </row>
    <row r="30" spans="2:9" x14ac:dyDescent="0.2">
      <c r="B30" s="506"/>
      <c r="C30" s="459" t="s">
        <v>631</v>
      </c>
      <c r="D30" s="459"/>
      <c r="E30" s="459"/>
      <c r="F30" s="459"/>
      <c r="G30" s="456"/>
      <c r="H30" s="456"/>
      <c r="I30" s="492"/>
    </row>
    <row r="31" spans="2:9" x14ac:dyDescent="0.2">
      <c r="B31" s="506"/>
      <c r="C31" s="298">
        <v>84077544</v>
      </c>
      <c r="D31" s="298"/>
      <c r="E31" s="298"/>
      <c r="F31" s="463">
        <v>84081905</v>
      </c>
      <c r="G31" s="518"/>
      <c r="H31" s="518"/>
      <c r="I31" s="492"/>
    </row>
    <row r="32" spans="2:9" ht="16" thickBot="1" x14ac:dyDescent="0.25">
      <c r="B32" s="507"/>
      <c r="C32" s="296">
        <v>84077542</v>
      </c>
      <c r="D32" s="296" t="s">
        <v>466</v>
      </c>
      <c r="E32" s="308"/>
      <c r="F32" s="464"/>
      <c r="G32" s="468"/>
      <c r="H32" s="468"/>
      <c r="I32" s="493"/>
    </row>
    <row r="33" spans="2:9" x14ac:dyDescent="0.2">
      <c r="B33" s="442" t="s">
        <v>324</v>
      </c>
      <c r="C33" s="301" t="s">
        <v>410</v>
      </c>
      <c r="D33" s="301" t="s">
        <v>640</v>
      </c>
      <c r="E33" s="455"/>
      <c r="F33" s="457">
        <v>84058914</v>
      </c>
      <c r="G33" s="455" t="s">
        <v>73</v>
      </c>
      <c r="H33" s="455"/>
      <c r="I33" s="491"/>
    </row>
    <row r="34" spans="2:9" x14ac:dyDescent="0.2">
      <c r="B34" s="443"/>
      <c r="C34" s="78" t="s">
        <v>411</v>
      </c>
      <c r="D34" s="78" t="s">
        <v>640</v>
      </c>
      <c r="E34" s="456"/>
      <c r="F34" s="458"/>
      <c r="G34" s="456"/>
      <c r="H34" s="456"/>
      <c r="I34" s="492"/>
    </row>
    <row r="35" spans="2:9" x14ac:dyDescent="0.2">
      <c r="B35" s="443"/>
      <c r="C35" s="78" t="s">
        <v>641</v>
      </c>
      <c r="D35" s="78" t="s">
        <v>478</v>
      </c>
      <c r="E35" s="456"/>
      <c r="F35" s="458"/>
      <c r="G35" s="456"/>
      <c r="H35" s="456"/>
      <c r="I35" s="492"/>
    </row>
    <row r="36" spans="2:9" x14ac:dyDescent="0.2">
      <c r="B36" s="443"/>
      <c r="C36" s="78" t="s">
        <v>184</v>
      </c>
      <c r="D36" s="78" t="s">
        <v>478</v>
      </c>
      <c r="E36" s="456"/>
      <c r="F36" s="458"/>
      <c r="G36" s="456"/>
      <c r="H36" s="456"/>
      <c r="I36" s="492"/>
    </row>
    <row r="37" spans="2:9" x14ac:dyDescent="0.2">
      <c r="B37" s="443"/>
      <c r="C37" s="78" t="s">
        <v>642</v>
      </c>
      <c r="D37" s="78" t="s">
        <v>643</v>
      </c>
      <c r="E37" s="456"/>
      <c r="F37" s="458"/>
      <c r="G37" s="456"/>
      <c r="H37" s="456"/>
      <c r="I37" s="492"/>
    </row>
    <row r="38" spans="2:9" x14ac:dyDescent="0.2">
      <c r="B38" s="443"/>
      <c r="C38" s="78">
        <v>84035200</v>
      </c>
      <c r="D38" s="78" t="s">
        <v>461</v>
      </c>
      <c r="E38" s="456"/>
      <c r="F38" s="458"/>
      <c r="G38" s="456"/>
      <c r="H38" s="456"/>
      <c r="I38" s="492"/>
    </row>
    <row r="39" spans="2:9" x14ac:dyDescent="0.2">
      <c r="B39" s="443"/>
      <c r="C39" s="78">
        <v>82004298</v>
      </c>
      <c r="D39" s="78" t="s">
        <v>431</v>
      </c>
      <c r="E39" s="456"/>
      <c r="F39" s="458"/>
      <c r="G39" s="456"/>
      <c r="H39" s="456"/>
      <c r="I39" s="492"/>
    </row>
    <row r="40" spans="2:9" x14ac:dyDescent="0.2">
      <c r="B40" s="443"/>
      <c r="C40" s="78">
        <v>84035201</v>
      </c>
      <c r="D40" s="78" t="s">
        <v>461</v>
      </c>
      <c r="E40" s="456"/>
      <c r="F40" s="458"/>
      <c r="G40" s="456"/>
      <c r="H40" s="456"/>
      <c r="I40" s="492"/>
    </row>
    <row r="41" spans="2:9" x14ac:dyDescent="0.2">
      <c r="B41" s="443"/>
      <c r="C41" s="306">
        <v>84028400</v>
      </c>
      <c r="D41" s="306" t="s">
        <v>461</v>
      </c>
      <c r="E41" s="456"/>
      <c r="F41" s="458"/>
      <c r="G41" s="456"/>
      <c r="H41" s="456"/>
      <c r="I41" s="492"/>
    </row>
    <row r="42" spans="2:9" x14ac:dyDescent="0.2">
      <c r="B42" s="443"/>
      <c r="C42" s="306">
        <v>84017096</v>
      </c>
      <c r="D42" s="306" t="s">
        <v>526</v>
      </c>
      <c r="E42" s="456"/>
      <c r="F42" s="458"/>
      <c r="G42" s="456"/>
      <c r="H42" s="456"/>
      <c r="I42" s="492"/>
    </row>
    <row r="43" spans="2:9" x14ac:dyDescent="0.2">
      <c r="B43" s="443"/>
      <c r="C43" s="459" t="s">
        <v>631</v>
      </c>
      <c r="D43" s="459"/>
      <c r="E43" s="459"/>
      <c r="F43" s="459"/>
      <c r="G43" s="456"/>
      <c r="H43" s="456"/>
      <c r="I43" s="492"/>
    </row>
    <row r="44" spans="2:9" ht="16" thickBot="1" x14ac:dyDescent="0.25">
      <c r="B44" s="444"/>
      <c r="C44" s="296">
        <v>84111205</v>
      </c>
      <c r="D44" s="296" t="s">
        <v>470</v>
      </c>
      <c r="E44" s="308"/>
      <c r="F44" s="296">
        <v>84111218</v>
      </c>
      <c r="G44" s="468"/>
      <c r="H44" s="468"/>
      <c r="I44" s="493"/>
    </row>
    <row r="45" spans="2:9" x14ac:dyDescent="0.2">
      <c r="B45" s="442" t="s">
        <v>325</v>
      </c>
      <c r="C45" s="301" t="s">
        <v>326</v>
      </c>
      <c r="D45" s="301" t="s">
        <v>644</v>
      </c>
      <c r="E45" s="455"/>
      <c r="F45" s="457">
        <v>84058915</v>
      </c>
      <c r="G45" s="455"/>
      <c r="H45" s="455"/>
      <c r="I45" s="491"/>
    </row>
    <row r="46" spans="2:9" x14ac:dyDescent="0.2">
      <c r="B46" s="461"/>
      <c r="C46" s="304" t="s">
        <v>645</v>
      </c>
      <c r="D46" s="304" t="s">
        <v>646</v>
      </c>
      <c r="E46" s="460"/>
      <c r="F46" s="462"/>
      <c r="G46" s="460"/>
      <c r="H46" s="460"/>
      <c r="I46" s="492"/>
    </row>
    <row r="47" spans="2:9" x14ac:dyDescent="0.2">
      <c r="B47" s="443"/>
      <c r="C47" s="78">
        <v>82009144</v>
      </c>
      <c r="D47" s="78" t="s">
        <v>433</v>
      </c>
      <c r="E47" s="456"/>
      <c r="F47" s="458"/>
      <c r="G47" s="456"/>
      <c r="H47" s="456"/>
      <c r="I47" s="492"/>
    </row>
    <row r="48" spans="2:9" x14ac:dyDescent="0.2">
      <c r="B48" s="443"/>
      <c r="C48" s="78">
        <v>84035202</v>
      </c>
      <c r="D48" s="78" t="s">
        <v>438</v>
      </c>
      <c r="E48" s="456"/>
      <c r="F48" s="458"/>
      <c r="G48" s="456"/>
      <c r="H48" s="456"/>
      <c r="I48" s="492"/>
    </row>
    <row r="49" spans="2:9" x14ac:dyDescent="0.2">
      <c r="B49" s="443"/>
      <c r="C49" s="78">
        <v>84035203</v>
      </c>
      <c r="D49" s="78" t="s">
        <v>438</v>
      </c>
      <c r="E49" s="456"/>
      <c r="F49" s="458"/>
      <c r="G49" s="456"/>
      <c r="H49" s="456"/>
      <c r="I49" s="492"/>
    </row>
    <row r="50" spans="2:9" x14ac:dyDescent="0.2">
      <c r="B50" s="443"/>
      <c r="C50" s="78">
        <v>84028401</v>
      </c>
      <c r="D50" s="78" t="s">
        <v>438</v>
      </c>
      <c r="E50" s="456"/>
      <c r="F50" s="458"/>
      <c r="G50" s="456"/>
      <c r="H50" s="456"/>
      <c r="I50" s="492"/>
    </row>
    <row r="51" spans="2:9" x14ac:dyDescent="0.2">
      <c r="B51" s="443"/>
      <c r="C51" s="459" t="s">
        <v>631</v>
      </c>
      <c r="D51" s="459"/>
      <c r="E51" s="459"/>
      <c r="F51" s="459"/>
      <c r="G51" s="456"/>
      <c r="H51" s="456"/>
      <c r="I51" s="492"/>
    </row>
    <row r="52" spans="2:9" ht="16" thickBot="1" x14ac:dyDescent="0.25">
      <c r="B52" s="444"/>
      <c r="C52" s="296">
        <v>84112856</v>
      </c>
      <c r="D52" s="296" t="s">
        <v>602</v>
      </c>
      <c r="E52" s="308"/>
      <c r="F52" s="296">
        <v>84112857</v>
      </c>
      <c r="G52" s="468"/>
      <c r="H52" s="468"/>
      <c r="I52" s="493"/>
    </row>
    <row r="53" spans="2:9" x14ac:dyDescent="0.2">
      <c r="B53" s="475" t="s">
        <v>647</v>
      </c>
      <c r="C53" s="301">
        <v>84028402</v>
      </c>
      <c r="D53" s="301" t="s">
        <v>462</v>
      </c>
      <c r="E53" s="455"/>
      <c r="F53" s="457" t="s">
        <v>426</v>
      </c>
      <c r="G53" s="471">
        <v>84058875</v>
      </c>
      <c r="H53" s="455"/>
      <c r="I53" s="498" t="s">
        <v>648</v>
      </c>
    </row>
    <row r="54" spans="2:9" x14ac:dyDescent="0.2">
      <c r="B54" s="476"/>
      <c r="C54" s="78">
        <v>84035204</v>
      </c>
      <c r="D54" s="78" t="s">
        <v>462</v>
      </c>
      <c r="E54" s="456"/>
      <c r="F54" s="458"/>
      <c r="G54" s="472"/>
      <c r="H54" s="456"/>
      <c r="I54" s="499"/>
    </row>
    <row r="55" spans="2:9" x14ac:dyDescent="0.2">
      <c r="B55" s="476"/>
      <c r="C55" s="78">
        <v>84035205</v>
      </c>
      <c r="D55" s="78" t="s">
        <v>462</v>
      </c>
      <c r="E55" s="456"/>
      <c r="F55" s="458"/>
      <c r="G55" s="472"/>
      <c r="H55" s="456"/>
      <c r="I55" s="499"/>
    </row>
    <row r="56" spans="2:9" x14ac:dyDescent="0.2">
      <c r="B56" s="476"/>
      <c r="C56" s="78">
        <v>84035236</v>
      </c>
      <c r="D56" s="78" t="s">
        <v>441</v>
      </c>
      <c r="E56" s="456"/>
      <c r="F56" s="458"/>
      <c r="G56" s="472"/>
      <c r="H56" s="456"/>
      <c r="I56" s="499"/>
    </row>
    <row r="57" spans="2:9" x14ac:dyDescent="0.2">
      <c r="B57" s="476"/>
      <c r="C57" s="78" t="s">
        <v>181</v>
      </c>
      <c r="D57" s="78" t="s">
        <v>472</v>
      </c>
      <c r="E57" s="456"/>
      <c r="F57" s="458"/>
      <c r="G57" s="472"/>
      <c r="H57" s="456"/>
      <c r="I57" s="499"/>
    </row>
    <row r="58" spans="2:9" x14ac:dyDescent="0.2">
      <c r="B58" s="476"/>
      <c r="C58" s="78" t="s">
        <v>649</v>
      </c>
      <c r="D58" s="78" t="s">
        <v>472</v>
      </c>
      <c r="E58" s="456"/>
      <c r="F58" s="458"/>
      <c r="G58" s="472"/>
      <c r="H58" s="456"/>
      <c r="I58" s="499"/>
    </row>
    <row r="59" spans="2:9" x14ac:dyDescent="0.2">
      <c r="B59" s="476"/>
      <c r="C59" s="78" t="s">
        <v>328</v>
      </c>
      <c r="D59" s="78" t="s">
        <v>650</v>
      </c>
      <c r="E59" s="456"/>
      <c r="F59" s="458"/>
      <c r="G59" s="472"/>
      <c r="H59" s="456"/>
      <c r="I59" s="499"/>
    </row>
    <row r="60" spans="2:9" ht="16" thickBot="1" x14ac:dyDescent="0.25">
      <c r="B60" s="480"/>
      <c r="C60" s="302" t="s">
        <v>329</v>
      </c>
      <c r="D60" s="302" t="s">
        <v>651</v>
      </c>
      <c r="E60" s="468"/>
      <c r="F60" s="474"/>
      <c r="G60" s="473"/>
      <c r="H60" s="468"/>
      <c r="I60" s="500"/>
    </row>
    <row r="61" spans="2:9" x14ac:dyDescent="0.2">
      <c r="B61" s="442" t="s">
        <v>330</v>
      </c>
      <c r="C61" s="301">
        <v>82003682</v>
      </c>
      <c r="D61" s="301" t="s">
        <v>652</v>
      </c>
      <c r="E61" s="455"/>
      <c r="F61" s="457" t="s">
        <v>584</v>
      </c>
      <c r="G61" s="471">
        <v>84058876</v>
      </c>
      <c r="H61" s="455"/>
      <c r="I61" s="498" t="s">
        <v>653</v>
      </c>
    </row>
    <row r="62" spans="2:9" x14ac:dyDescent="0.2">
      <c r="B62" s="443"/>
      <c r="C62" s="78">
        <v>82004299</v>
      </c>
      <c r="D62" s="78" t="s">
        <v>432</v>
      </c>
      <c r="E62" s="456"/>
      <c r="F62" s="458"/>
      <c r="G62" s="472"/>
      <c r="H62" s="456"/>
      <c r="I62" s="499"/>
    </row>
    <row r="63" spans="2:9" x14ac:dyDescent="0.2">
      <c r="B63" s="443"/>
      <c r="C63" s="78">
        <v>84003889</v>
      </c>
      <c r="D63" s="78" t="s">
        <v>599</v>
      </c>
      <c r="E63" s="456"/>
      <c r="F63" s="458"/>
      <c r="G63" s="472"/>
      <c r="H63" s="456"/>
      <c r="I63" s="499"/>
    </row>
    <row r="64" spans="2:9" x14ac:dyDescent="0.2">
      <c r="B64" s="443"/>
      <c r="C64" s="78">
        <v>84023833</v>
      </c>
      <c r="D64" s="78" t="s">
        <v>599</v>
      </c>
      <c r="E64" s="456"/>
      <c r="F64" s="458"/>
      <c r="G64" s="472"/>
      <c r="H64" s="456"/>
      <c r="I64" s="499"/>
    </row>
    <row r="65" spans="2:9" x14ac:dyDescent="0.2">
      <c r="B65" s="443"/>
      <c r="C65" s="78">
        <v>84023838</v>
      </c>
      <c r="D65" s="78" t="s">
        <v>599</v>
      </c>
      <c r="E65" s="456"/>
      <c r="F65" s="458"/>
      <c r="G65" s="472"/>
      <c r="H65" s="456"/>
      <c r="I65" s="499"/>
    </row>
    <row r="66" spans="2:9" x14ac:dyDescent="0.2">
      <c r="B66" s="443"/>
      <c r="C66" s="78" t="s">
        <v>182</v>
      </c>
      <c r="D66" s="78" t="s">
        <v>473</v>
      </c>
      <c r="E66" s="456"/>
      <c r="F66" s="458"/>
      <c r="G66" s="472"/>
      <c r="H66" s="456"/>
      <c r="I66" s="499"/>
    </row>
    <row r="67" spans="2:9" x14ac:dyDescent="0.2">
      <c r="B67" s="443"/>
      <c r="C67" s="78" t="s">
        <v>654</v>
      </c>
      <c r="D67" s="78" t="s">
        <v>473</v>
      </c>
      <c r="E67" s="456"/>
      <c r="F67" s="458"/>
      <c r="G67" s="472"/>
      <c r="H67" s="456"/>
      <c r="I67" s="499"/>
    </row>
    <row r="68" spans="2:9" x14ac:dyDescent="0.2">
      <c r="B68" s="443"/>
      <c r="C68" s="78" t="s">
        <v>331</v>
      </c>
      <c r="D68" s="78" t="s">
        <v>652</v>
      </c>
      <c r="E68" s="456"/>
      <c r="F68" s="458"/>
      <c r="G68" s="472"/>
      <c r="H68" s="456"/>
      <c r="I68" s="499"/>
    </row>
    <row r="69" spans="2:9" x14ac:dyDescent="0.2">
      <c r="B69" s="443"/>
      <c r="C69" s="82">
        <v>82013355</v>
      </c>
      <c r="D69" s="82" t="s">
        <v>655</v>
      </c>
      <c r="E69" s="472"/>
      <c r="F69" s="472"/>
      <c r="G69" s="472"/>
      <c r="H69" s="456"/>
      <c r="I69" s="499"/>
    </row>
    <row r="70" spans="2:9" x14ac:dyDescent="0.2">
      <c r="B70" s="443"/>
      <c r="C70" s="82">
        <v>84036223</v>
      </c>
      <c r="D70" s="82" t="s">
        <v>655</v>
      </c>
      <c r="E70" s="472"/>
      <c r="F70" s="472"/>
      <c r="G70" s="472"/>
      <c r="H70" s="456"/>
      <c r="I70" s="499"/>
    </row>
    <row r="71" spans="2:9" ht="16" thickBot="1" x14ac:dyDescent="0.25">
      <c r="B71" s="444"/>
      <c r="C71" s="297" t="s">
        <v>74</v>
      </c>
      <c r="D71" s="297" t="s">
        <v>656</v>
      </c>
      <c r="E71" s="473"/>
      <c r="F71" s="473"/>
      <c r="G71" s="473"/>
      <c r="H71" s="468"/>
      <c r="I71" s="500"/>
    </row>
    <row r="72" spans="2:9" x14ac:dyDescent="0.2">
      <c r="B72" s="442" t="s">
        <v>332</v>
      </c>
      <c r="C72" s="301">
        <v>82009145</v>
      </c>
      <c r="D72" s="301" t="s">
        <v>434</v>
      </c>
      <c r="E72" s="501"/>
      <c r="F72" s="503" t="s">
        <v>566</v>
      </c>
      <c r="G72" s="471">
        <v>84058877</v>
      </c>
      <c r="H72" s="455"/>
      <c r="I72" s="498" t="s">
        <v>657</v>
      </c>
    </row>
    <row r="73" spans="2:9" x14ac:dyDescent="0.2">
      <c r="B73" s="443"/>
      <c r="C73" s="78">
        <v>84009588</v>
      </c>
      <c r="D73" s="78" t="s">
        <v>557</v>
      </c>
      <c r="E73" s="502"/>
      <c r="F73" s="504"/>
      <c r="G73" s="472"/>
      <c r="H73" s="456"/>
      <c r="I73" s="499"/>
    </row>
    <row r="74" spans="2:9" x14ac:dyDescent="0.2">
      <c r="B74" s="443"/>
      <c r="C74" s="78">
        <v>84023834</v>
      </c>
      <c r="D74" s="78" t="s">
        <v>557</v>
      </c>
      <c r="E74" s="502"/>
      <c r="F74" s="504"/>
      <c r="G74" s="472"/>
      <c r="H74" s="456"/>
      <c r="I74" s="499"/>
    </row>
    <row r="75" spans="2:9" x14ac:dyDescent="0.2">
      <c r="B75" s="443"/>
      <c r="C75" s="78">
        <v>84023839</v>
      </c>
      <c r="D75" s="78" t="s">
        <v>557</v>
      </c>
      <c r="E75" s="502"/>
      <c r="F75" s="504"/>
      <c r="G75" s="472"/>
      <c r="H75" s="456"/>
      <c r="I75" s="499"/>
    </row>
    <row r="76" spans="2:9" x14ac:dyDescent="0.2">
      <c r="B76" s="443"/>
      <c r="C76" s="78" t="s">
        <v>67</v>
      </c>
      <c r="D76" s="78" t="s">
        <v>658</v>
      </c>
      <c r="E76" s="502"/>
      <c r="F76" s="504"/>
      <c r="G76" s="472"/>
      <c r="H76" s="456"/>
      <c r="I76" s="499"/>
    </row>
    <row r="77" spans="2:9" x14ac:dyDescent="0.2">
      <c r="B77" s="443"/>
      <c r="C77" s="78" t="s">
        <v>161</v>
      </c>
      <c r="D77" s="78" t="s">
        <v>658</v>
      </c>
      <c r="E77" s="502"/>
      <c r="F77" s="504"/>
      <c r="G77" s="472"/>
      <c r="H77" s="456"/>
      <c r="I77" s="499"/>
    </row>
    <row r="78" spans="2:9" x14ac:dyDescent="0.2">
      <c r="B78" s="443"/>
      <c r="C78" s="78" t="s">
        <v>659</v>
      </c>
      <c r="D78" s="78" t="s">
        <v>660</v>
      </c>
      <c r="E78" s="460"/>
      <c r="F78" s="462"/>
      <c r="G78" s="472"/>
      <c r="H78" s="456"/>
      <c r="I78" s="499"/>
    </row>
    <row r="79" spans="2:9" x14ac:dyDescent="0.2">
      <c r="B79" s="443"/>
      <c r="C79" s="82">
        <v>82013356</v>
      </c>
      <c r="D79" s="82" t="s">
        <v>661</v>
      </c>
      <c r="E79" s="472"/>
      <c r="F79" s="472"/>
      <c r="G79" s="472"/>
      <c r="H79" s="456"/>
      <c r="I79" s="499"/>
    </row>
    <row r="80" spans="2:9" x14ac:dyDescent="0.2">
      <c r="B80" s="443"/>
      <c r="C80" s="82">
        <v>84036224</v>
      </c>
      <c r="D80" s="82" t="s">
        <v>661</v>
      </c>
      <c r="E80" s="472"/>
      <c r="F80" s="472"/>
      <c r="G80" s="472"/>
      <c r="H80" s="456"/>
      <c r="I80" s="499"/>
    </row>
    <row r="81" spans="2:9" ht="16" thickBot="1" x14ac:dyDescent="0.25">
      <c r="B81" s="444"/>
      <c r="C81" s="297" t="s">
        <v>75</v>
      </c>
      <c r="D81" s="297" t="s">
        <v>661</v>
      </c>
      <c r="E81" s="473"/>
      <c r="F81" s="473"/>
      <c r="G81" s="473"/>
      <c r="H81" s="468"/>
      <c r="I81" s="500"/>
    </row>
    <row r="82" spans="2:9" x14ac:dyDescent="0.2">
      <c r="B82" s="442" t="s">
        <v>333</v>
      </c>
      <c r="C82" s="301">
        <v>82009146</v>
      </c>
      <c r="D82" s="301" t="s">
        <v>435</v>
      </c>
      <c r="E82" s="455"/>
      <c r="F82" s="457" t="s">
        <v>585</v>
      </c>
      <c r="G82" s="471">
        <v>84058878</v>
      </c>
      <c r="H82" s="455"/>
      <c r="I82" s="498" t="s">
        <v>662</v>
      </c>
    </row>
    <row r="83" spans="2:9" x14ac:dyDescent="0.2">
      <c r="B83" s="443"/>
      <c r="C83" s="78">
        <v>84009589</v>
      </c>
      <c r="D83" s="78" t="s">
        <v>663</v>
      </c>
      <c r="E83" s="456"/>
      <c r="F83" s="458"/>
      <c r="G83" s="472"/>
      <c r="H83" s="456"/>
      <c r="I83" s="499"/>
    </row>
    <row r="84" spans="2:9" x14ac:dyDescent="0.2">
      <c r="B84" s="443"/>
      <c r="C84" s="78">
        <v>84023835</v>
      </c>
      <c r="D84" s="78" t="s">
        <v>663</v>
      </c>
      <c r="E84" s="456"/>
      <c r="F84" s="458"/>
      <c r="G84" s="472"/>
      <c r="H84" s="456"/>
      <c r="I84" s="499"/>
    </row>
    <row r="85" spans="2:9" x14ac:dyDescent="0.2">
      <c r="B85" s="443"/>
      <c r="C85" s="78">
        <v>84023840</v>
      </c>
      <c r="D85" s="78" t="s">
        <v>663</v>
      </c>
      <c r="E85" s="456"/>
      <c r="F85" s="458"/>
      <c r="G85" s="472"/>
      <c r="H85" s="456"/>
      <c r="I85" s="499"/>
    </row>
    <row r="86" spans="2:9" x14ac:dyDescent="0.2">
      <c r="B86" s="443"/>
      <c r="C86" s="78" t="s">
        <v>334</v>
      </c>
      <c r="D86" s="78" t="s">
        <v>664</v>
      </c>
      <c r="E86" s="456"/>
      <c r="F86" s="458"/>
      <c r="G86" s="472"/>
      <c r="H86" s="456"/>
      <c r="I86" s="499"/>
    </row>
    <row r="87" spans="2:9" x14ac:dyDescent="0.2">
      <c r="B87" s="443"/>
      <c r="C87" s="78" t="s">
        <v>335</v>
      </c>
      <c r="D87" s="78" t="s">
        <v>665</v>
      </c>
      <c r="E87" s="456"/>
      <c r="F87" s="458"/>
      <c r="G87" s="472"/>
      <c r="H87" s="456"/>
      <c r="I87" s="499"/>
    </row>
    <row r="88" spans="2:9" ht="15" customHeight="1" x14ac:dyDescent="0.2">
      <c r="B88" s="443"/>
      <c r="C88" s="82">
        <v>82013357</v>
      </c>
      <c r="D88" s="82" t="s">
        <v>666</v>
      </c>
      <c r="E88" s="472"/>
      <c r="F88" s="472"/>
      <c r="G88" s="472"/>
      <c r="H88" s="456"/>
      <c r="I88" s="499"/>
    </row>
    <row r="89" spans="2:9" x14ac:dyDescent="0.2">
      <c r="B89" s="443"/>
      <c r="C89" s="82">
        <v>84036225</v>
      </c>
      <c r="D89" s="82" t="s">
        <v>666</v>
      </c>
      <c r="E89" s="472"/>
      <c r="F89" s="472"/>
      <c r="G89" s="472"/>
      <c r="H89" s="456"/>
      <c r="I89" s="499"/>
    </row>
    <row r="90" spans="2:9" ht="16" thickBot="1" x14ac:dyDescent="0.25">
      <c r="B90" s="444"/>
      <c r="C90" s="297" t="s">
        <v>76</v>
      </c>
      <c r="D90" s="297" t="s">
        <v>666</v>
      </c>
      <c r="E90" s="473"/>
      <c r="F90" s="473"/>
      <c r="G90" s="473"/>
      <c r="H90" s="468"/>
      <c r="I90" s="500"/>
    </row>
    <row r="91" spans="2:9" x14ac:dyDescent="0.2">
      <c r="B91" s="442" t="s">
        <v>336</v>
      </c>
      <c r="C91" s="301">
        <v>82002278</v>
      </c>
      <c r="D91" s="301" t="s">
        <v>667</v>
      </c>
      <c r="E91" s="455"/>
      <c r="F91" s="457" t="s">
        <v>586</v>
      </c>
      <c r="G91" s="471">
        <v>84058879</v>
      </c>
      <c r="H91" s="455"/>
      <c r="I91" s="498" t="s">
        <v>668</v>
      </c>
    </row>
    <row r="92" spans="2:9" x14ac:dyDescent="0.2">
      <c r="B92" s="443"/>
      <c r="C92" s="78">
        <v>82009147</v>
      </c>
      <c r="D92" s="78" t="s">
        <v>436</v>
      </c>
      <c r="E92" s="456"/>
      <c r="F92" s="458"/>
      <c r="G92" s="472"/>
      <c r="H92" s="456"/>
      <c r="I92" s="499"/>
    </row>
    <row r="93" spans="2:9" x14ac:dyDescent="0.2">
      <c r="B93" s="443"/>
      <c r="C93" s="78">
        <v>84023836</v>
      </c>
      <c r="D93" s="78" t="s">
        <v>600</v>
      </c>
      <c r="E93" s="456"/>
      <c r="F93" s="458"/>
      <c r="G93" s="472"/>
      <c r="H93" s="456"/>
      <c r="I93" s="499"/>
    </row>
    <row r="94" spans="2:9" x14ac:dyDescent="0.2">
      <c r="B94" s="443"/>
      <c r="C94" s="78">
        <v>84023841</v>
      </c>
      <c r="D94" s="78" t="s">
        <v>600</v>
      </c>
      <c r="E94" s="456"/>
      <c r="F94" s="458"/>
      <c r="G94" s="472"/>
      <c r="H94" s="456"/>
      <c r="I94" s="499"/>
    </row>
    <row r="95" spans="2:9" x14ac:dyDescent="0.2">
      <c r="B95" s="443"/>
      <c r="C95" s="78">
        <v>84023842</v>
      </c>
      <c r="D95" s="78" t="s">
        <v>600</v>
      </c>
      <c r="E95" s="456"/>
      <c r="F95" s="458"/>
      <c r="G95" s="472"/>
      <c r="H95" s="456"/>
      <c r="I95" s="499"/>
    </row>
    <row r="96" spans="2:9" x14ac:dyDescent="0.2">
      <c r="B96" s="443"/>
      <c r="C96" s="78" t="s">
        <v>669</v>
      </c>
      <c r="D96" s="78" t="s">
        <v>670</v>
      </c>
      <c r="E96" s="456"/>
      <c r="F96" s="458"/>
      <c r="G96" s="472"/>
      <c r="H96" s="456"/>
      <c r="I96" s="499"/>
    </row>
    <row r="97" spans="2:9" x14ac:dyDescent="0.2">
      <c r="B97" s="443"/>
      <c r="C97" s="78" t="s">
        <v>671</v>
      </c>
      <c r="D97" s="78" t="s">
        <v>672</v>
      </c>
      <c r="E97" s="456"/>
      <c r="F97" s="458"/>
      <c r="G97" s="472"/>
      <c r="H97" s="456"/>
      <c r="I97" s="499"/>
    </row>
    <row r="98" spans="2:9" x14ac:dyDescent="0.2">
      <c r="B98" s="443"/>
      <c r="C98" s="78" t="s">
        <v>65</v>
      </c>
      <c r="D98" s="78" t="s">
        <v>673</v>
      </c>
      <c r="E98" s="456"/>
      <c r="F98" s="458"/>
      <c r="G98" s="472"/>
      <c r="H98" s="456"/>
      <c r="I98" s="499"/>
    </row>
    <row r="99" spans="2:9" x14ac:dyDescent="0.2">
      <c r="B99" s="443"/>
      <c r="C99" s="78" t="s">
        <v>337</v>
      </c>
      <c r="D99" s="78" t="s">
        <v>667</v>
      </c>
      <c r="E99" s="456"/>
      <c r="F99" s="458"/>
      <c r="G99" s="472"/>
      <c r="H99" s="456"/>
      <c r="I99" s="499"/>
    </row>
    <row r="100" spans="2:9" x14ac:dyDescent="0.2">
      <c r="B100" s="443"/>
      <c r="C100" s="82">
        <v>82013358</v>
      </c>
      <c r="D100" s="82" t="s">
        <v>674</v>
      </c>
      <c r="E100" s="472"/>
      <c r="F100" s="472"/>
      <c r="G100" s="472"/>
      <c r="H100" s="456"/>
      <c r="I100" s="499"/>
    </row>
    <row r="101" spans="2:9" x14ac:dyDescent="0.2">
      <c r="B101" s="443"/>
      <c r="C101" s="82">
        <v>84036226</v>
      </c>
      <c r="D101" s="82" t="s">
        <v>674</v>
      </c>
      <c r="E101" s="472"/>
      <c r="F101" s="472"/>
      <c r="G101" s="472"/>
      <c r="H101" s="456"/>
      <c r="I101" s="499"/>
    </row>
    <row r="102" spans="2:9" ht="16" thickBot="1" x14ac:dyDescent="0.25">
      <c r="B102" s="444"/>
      <c r="C102" s="297" t="s">
        <v>77</v>
      </c>
      <c r="D102" s="297" t="s">
        <v>674</v>
      </c>
      <c r="E102" s="473"/>
      <c r="F102" s="473"/>
      <c r="G102" s="473"/>
      <c r="H102" s="468"/>
      <c r="I102" s="500"/>
    </row>
    <row r="103" spans="2:9" ht="65" customHeight="1" x14ac:dyDescent="0.2">
      <c r="B103" s="442" t="s">
        <v>338</v>
      </c>
      <c r="C103" s="301">
        <v>84036330</v>
      </c>
      <c r="D103" s="301" t="s">
        <v>442</v>
      </c>
      <c r="E103" s="455" t="s">
        <v>73</v>
      </c>
      <c r="F103" s="455"/>
      <c r="G103" s="455"/>
      <c r="H103" s="455"/>
      <c r="I103" s="488" t="s">
        <v>675</v>
      </c>
    </row>
    <row r="104" spans="2:9" x14ac:dyDescent="0.2">
      <c r="B104" s="443"/>
      <c r="C104" s="78">
        <v>84036331</v>
      </c>
      <c r="D104" s="78" t="s">
        <v>676</v>
      </c>
      <c r="E104" s="456"/>
      <c r="F104" s="456"/>
      <c r="G104" s="456"/>
      <c r="H104" s="456"/>
      <c r="I104" s="489"/>
    </row>
    <row r="105" spans="2:9" x14ac:dyDescent="0.2">
      <c r="B105" s="443"/>
      <c r="C105" s="78">
        <v>84058880</v>
      </c>
      <c r="D105" s="78" t="s">
        <v>453</v>
      </c>
      <c r="E105" s="456"/>
      <c r="F105" s="456"/>
      <c r="G105" s="456"/>
      <c r="H105" s="456"/>
      <c r="I105" s="489"/>
    </row>
    <row r="106" spans="2:9" x14ac:dyDescent="0.2">
      <c r="B106" s="443"/>
      <c r="C106" s="78">
        <v>84058895</v>
      </c>
      <c r="D106" s="78" t="s">
        <v>677</v>
      </c>
      <c r="E106" s="456"/>
      <c r="F106" s="456"/>
      <c r="G106" s="456"/>
      <c r="H106" s="456"/>
      <c r="I106" s="489"/>
    </row>
    <row r="107" spans="2:9" x14ac:dyDescent="0.2">
      <c r="B107" s="443"/>
      <c r="C107" s="78">
        <v>84058921</v>
      </c>
      <c r="D107" s="78" t="s">
        <v>676</v>
      </c>
      <c r="E107" s="456"/>
      <c r="F107" s="456"/>
      <c r="G107" s="456"/>
      <c r="H107" s="456"/>
      <c r="I107" s="489"/>
    </row>
    <row r="108" spans="2:9" ht="16" thickBot="1" x14ac:dyDescent="0.25">
      <c r="B108" s="444"/>
      <c r="C108" s="302" t="s">
        <v>339</v>
      </c>
      <c r="D108" s="302" t="s">
        <v>678</v>
      </c>
      <c r="E108" s="468"/>
      <c r="F108" s="468"/>
      <c r="G108" s="468"/>
      <c r="H108" s="468"/>
      <c r="I108" s="490"/>
    </row>
    <row r="109" spans="2:9" x14ac:dyDescent="0.2">
      <c r="B109" s="442" t="s">
        <v>340</v>
      </c>
      <c r="C109" s="301">
        <v>84036332</v>
      </c>
      <c r="D109" s="301" t="s">
        <v>443</v>
      </c>
      <c r="E109" s="455"/>
      <c r="F109" s="457">
        <v>84058922</v>
      </c>
      <c r="G109" s="455" t="s">
        <v>73</v>
      </c>
      <c r="H109" s="466">
        <v>84058896</v>
      </c>
      <c r="I109" s="517" t="s">
        <v>679</v>
      </c>
    </row>
    <row r="110" spans="2:9" x14ac:dyDescent="0.2">
      <c r="B110" s="443"/>
      <c r="C110" s="78">
        <v>84036333</v>
      </c>
      <c r="D110" s="78" t="s">
        <v>680</v>
      </c>
      <c r="E110" s="456"/>
      <c r="F110" s="458"/>
      <c r="G110" s="456"/>
      <c r="H110" s="467"/>
      <c r="I110" s="489"/>
    </row>
    <row r="111" spans="2:9" ht="16" thickBot="1" x14ac:dyDescent="0.25">
      <c r="B111" s="443"/>
      <c r="C111" s="78" t="s">
        <v>205</v>
      </c>
      <c r="D111" s="78" t="s">
        <v>443</v>
      </c>
      <c r="E111" s="456"/>
      <c r="F111" s="458"/>
      <c r="G111" s="456"/>
      <c r="H111" s="467"/>
      <c r="I111" s="489"/>
    </row>
    <row r="112" spans="2:9" x14ac:dyDescent="0.2">
      <c r="B112" s="443"/>
      <c r="C112" s="84">
        <v>82013359</v>
      </c>
      <c r="D112" s="299" t="s">
        <v>681</v>
      </c>
      <c r="E112" s="445"/>
      <c r="F112" s="446"/>
      <c r="G112" s="447"/>
      <c r="H112" s="467"/>
      <c r="I112" s="489"/>
    </row>
    <row r="113" spans="2:9" x14ac:dyDescent="0.2">
      <c r="B113" s="443"/>
      <c r="C113" s="84">
        <v>84036227</v>
      </c>
      <c r="D113" s="299" t="s">
        <v>681</v>
      </c>
      <c r="E113" s="448"/>
      <c r="F113" s="449"/>
      <c r="G113" s="450"/>
      <c r="H113" s="467"/>
      <c r="I113" s="489"/>
    </row>
    <row r="114" spans="2:9" x14ac:dyDescent="0.2">
      <c r="B114" s="443"/>
      <c r="C114" s="84" t="s">
        <v>78</v>
      </c>
      <c r="D114" s="300" t="s">
        <v>681</v>
      </c>
      <c r="E114" s="451"/>
      <c r="F114" s="452"/>
      <c r="G114" s="453"/>
      <c r="H114" s="467"/>
      <c r="I114" s="489"/>
    </row>
    <row r="115" spans="2:9" ht="16" thickBot="1" x14ac:dyDescent="0.25">
      <c r="B115" s="444"/>
      <c r="C115" s="454" t="s">
        <v>682</v>
      </c>
      <c r="D115" s="454"/>
      <c r="E115" s="454"/>
      <c r="F115" s="454"/>
      <c r="G115" s="454"/>
      <c r="H115" s="296">
        <v>84053884</v>
      </c>
      <c r="I115" s="490"/>
    </row>
    <row r="116" spans="2:9" x14ac:dyDescent="0.2">
      <c r="B116" s="443" t="s">
        <v>341</v>
      </c>
      <c r="C116" s="84">
        <v>82013360</v>
      </c>
      <c r="D116" s="84" t="s">
        <v>683</v>
      </c>
      <c r="E116" s="467"/>
      <c r="F116" s="467"/>
      <c r="G116" s="467"/>
      <c r="H116" s="477">
        <v>84058897</v>
      </c>
      <c r="I116" s="492"/>
    </row>
    <row r="117" spans="2:9" x14ac:dyDescent="0.2">
      <c r="B117" s="443"/>
      <c r="C117" s="84">
        <v>84036228</v>
      </c>
      <c r="D117" s="84" t="s">
        <v>683</v>
      </c>
      <c r="E117" s="467"/>
      <c r="F117" s="467"/>
      <c r="G117" s="467"/>
      <c r="H117" s="478"/>
      <c r="I117" s="492"/>
    </row>
    <row r="118" spans="2:9" x14ac:dyDescent="0.2">
      <c r="B118" s="465"/>
      <c r="C118" s="275" t="s">
        <v>342</v>
      </c>
      <c r="D118" s="275" t="s">
        <v>684</v>
      </c>
      <c r="E118" s="469"/>
      <c r="F118" s="469"/>
      <c r="G118" s="469"/>
      <c r="H118" s="478"/>
      <c r="I118" s="492"/>
    </row>
    <row r="119" spans="2:9" ht="16" thickBot="1" x14ac:dyDescent="0.25">
      <c r="B119" s="444"/>
      <c r="C119" s="295" t="s">
        <v>79</v>
      </c>
      <c r="D119" s="295" t="s">
        <v>683</v>
      </c>
      <c r="E119" s="470"/>
      <c r="F119" s="470"/>
      <c r="G119" s="470"/>
      <c r="H119" s="479"/>
      <c r="I119" s="493"/>
    </row>
    <row r="120" spans="2:9" x14ac:dyDescent="0.2">
      <c r="B120" s="475" t="s">
        <v>608</v>
      </c>
      <c r="C120" s="294">
        <v>82013361</v>
      </c>
      <c r="D120" s="294" t="s">
        <v>685</v>
      </c>
      <c r="E120" s="466" t="s">
        <v>73</v>
      </c>
      <c r="F120" s="466"/>
      <c r="G120" s="466"/>
      <c r="H120" s="466">
        <v>84058898</v>
      </c>
      <c r="I120" s="491"/>
    </row>
    <row r="121" spans="2:9" x14ac:dyDescent="0.2">
      <c r="B121" s="476"/>
      <c r="C121" s="84">
        <v>84036229</v>
      </c>
      <c r="D121" s="84" t="s">
        <v>685</v>
      </c>
      <c r="E121" s="467"/>
      <c r="F121" s="467"/>
      <c r="G121" s="467"/>
      <c r="H121" s="467"/>
      <c r="I121" s="492"/>
    </row>
    <row r="122" spans="2:9" x14ac:dyDescent="0.2">
      <c r="B122" s="476"/>
      <c r="C122" s="84" t="s">
        <v>80</v>
      </c>
      <c r="D122" s="84" t="s">
        <v>685</v>
      </c>
      <c r="E122" s="467"/>
      <c r="F122" s="467"/>
      <c r="G122" s="467"/>
      <c r="H122" s="467"/>
      <c r="I122" s="492"/>
    </row>
    <row r="123" spans="2:9" ht="16" thickBot="1" x14ac:dyDescent="0.25">
      <c r="B123" s="444"/>
      <c r="C123" s="454" t="s">
        <v>682</v>
      </c>
      <c r="D123" s="454"/>
      <c r="E123" s="454"/>
      <c r="F123" s="454"/>
      <c r="G123" s="454"/>
      <c r="H123" s="296">
        <v>84053885</v>
      </c>
      <c r="I123" s="493"/>
    </row>
    <row r="124" spans="2:9" x14ac:dyDescent="0.2">
      <c r="B124" s="442" t="s">
        <v>343</v>
      </c>
      <c r="C124" s="294">
        <v>84005688</v>
      </c>
      <c r="D124" s="294" t="s">
        <v>686</v>
      </c>
      <c r="E124" s="466" t="s">
        <v>73</v>
      </c>
      <c r="F124" s="466"/>
      <c r="G124" s="466"/>
      <c r="H124" s="466">
        <v>84058899</v>
      </c>
      <c r="I124" s="491"/>
    </row>
    <row r="125" spans="2:9" x14ac:dyDescent="0.2">
      <c r="B125" s="443"/>
      <c r="C125" s="84">
        <v>84003999</v>
      </c>
      <c r="D125" s="84" t="s">
        <v>687</v>
      </c>
      <c r="E125" s="467"/>
      <c r="F125" s="467"/>
      <c r="G125" s="467"/>
      <c r="H125" s="467"/>
      <c r="I125" s="492"/>
    </row>
    <row r="126" spans="2:9" x14ac:dyDescent="0.2">
      <c r="B126" s="443"/>
      <c r="C126" s="84">
        <v>84036327</v>
      </c>
      <c r="D126" s="84" t="s">
        <v>687</v>
      </c>
      <c r="E126" s="467"/>
      <c r="F126" s="467"/>
      <c r="G126" s="467"/>
      <c r="H126" s="467"/>
      <c r="I126" s="492"/>
    </row>
    <row r="127" spans="2:9" x14ac:dyDescent="0.2">
      <c r="B127" s="443"/>
      <c r="C127" s="84">
        <v>84036326</v>
      </c>
      <c r="D127" s="84" t="s">
        <v>687</v>
      </c>
      <c r="E127" s="467"/>
      <c r="F127" s="467"/>
      <c r="G127" s="467"/>
      <c r="H127" s="467"/>
      <c r="I127" s="492"/>
    </row>
    <row r="128" spans="2:9" ht="16" thickBot="1" x14ac:dyDescent="0.25">
      <c r="B128" s="444"/>
      <c r="C128" s="454" t="s">
        <v>682</v>
      </c>
      <c r="D128" s="454"/>
      <c r="E128" s="454"/>
      <c r="F128" s="454"/>
      <c r="G128" s="454"/>
      <c r="H128" s="296">
        <v>84053711</v>
      </c>
      <c r="I128" s="493"/>
    </row>
    <row r="129" spans="2:9" x14ac:dyDescent="0.2">
      <c r="B129" s="442" t="s">
        <v>344</v>
      </c>
      <c r="C129" s="294" t="s">
        <v>345</v>
      </c>
      <c r="D129" s="294" t="s">
        <v>688</v>
      </c>
      <c r="E129" s="466" t="s">
        <v>73</v>
      </c>
      <c r="F129" s="466"/>
      <c r="G129" s="466"/>
      <c r="H129" s="466">
        <v>84058900</v>
      </c>
      <c r="I129" s="491"/>
    </row>
    <row r="130" spans="2:9" x14ac:dyDescent="0.2">
      <c r="B130" s="443"/>
      <c r="C130" s="84">
        <v>82030101</v>
      </c>
      <c r="D130" s="84" t="s">
        <v>689</v>
      </c>
      <c r="E130" s="467"/>
      <c r="F130" s="467"/>
      <c r="G130" s="467"/>
      <c r="H130" s="467"/>
      <c r="I130" s="492"/>
    </row>
    <row r="131" spans="2:9" x14ac:dyDescent="0.2">
      <c r="B131" s="443"/>
      <c r="C131" s="84">
        <v>84036328</v>
      </c>
      <c r="D131" s="84" t="s">
        <v>689</v>
      </c>
      <c r="E131" s="467"/>
      <c r="F131" s="467"/>
      <c r="G131" s="467"/>
      <c r="H131" s="467"/>
      <c r="I131" s="492"/>
    </row>
    <row r="132" spans="2:9" x14ac:dyDescent="0.2">
      <c r="B132" s="443"/>
      <c r="C132" s="84">
        <v>84036329</v>
      </c>
      <c r="D132" s="84" t="s">
        <v>689</v>
      </c>
      <c r="E132" s="467"/>
      <c r="F132" s="467"/>
      <c r="G132" s="467"/>
      <c r="H132" s="467"/>
      <c r="I132" s="492"/>
    </row>
    <row r="133" spans="2:9" x14ac:dyDescent="0.2">
      <c r="B133" s="443"/>
      <c r="C133" s="511" t="s">
        <v>690</v>
      </c>
      <c r="D133" s="512"/>
      <c r="E133" s="512"/>
      <c r="F133" s="512"/>
      <c r="G133" s="512"/>
      <c r="H133" s="513"/>
      <c r="I133" s="492"/>
    </row>
    <row r="134" spans="2:9" x14ac:dyDescent="0.2">
      <c r="B134" s="443"/>
      <c r="C134" s="511" t="s">
        <v>73</v>
      </c>
      <c r="D134" s="512"/>
      <c r="E134" s="512"/>
      <c r="F134" s="512"/>
      <c r="G134" s="513"/>
      <c r="H134" s="178">
        <v>84103821</v>
      </c>
      <c r="I134" s="492"/>
    </row>
    <row r="135" spans="2:9" ht="16" thickBot="1" x14ac:dyDescent="0.25">
      <c r="B135" s="444"/>
      <c r="C135" s="514" t="s">
        <v>691</v>
      </c>
      <c r="D135" s="515"/>
      <c r="E135" s="515"/>
      <c r="F135" s="515"/>
      <c r="G135" s="516"/>
      <c r="H135" s="296">
        <v>84016681</v>
      </c>
      <c r="I135" s="493"/>
    </row>
    <row r="136" spans="2:9" ht="16" thickBot="1" x14ac:dyDescent="0.25">
      <c r="B136" s="508" t="s">
        <v>692</v>
      </c>
      <c r="C136" s="509"/>
      <c r="D136" s="509"/>
      <c r="E136" s="509"/>
      <c r="F136" s="509"/>
      <c r="G136" s="509"/>
      <c r="H136" s="509"/>
      <c r="I136" s="510"/>
    </row>
  </sheetData>
  <mergeCells count="107">
    <mergeCell ref="I129:I135"/>
    <mergeCell ref="B23:B32"/>
    <mergeCell ref="B136:I136"/>
    <mergeCell ref="C133:H133"/>
    <mergeCell ref="C134:G134"/>
    <mergeCell ref="C135:G135"/>
    <mergeCell ref="I15:I22"/>
    <mergeCell ref="I23:I32"/>
    <mergeCell ref="I33:I44"/>
    <mergeCell ref="I45:I52"/>
    <mergeCell ref="I103:I108"/>
    <mergeCell ref="I109:I115"/>
    <mergeCell ref="I116:I119"/>
    <mergeCell ref="I120:I123"/>
    <mergeCell ref="I124:I128"/>
    <mergeCell ref="G45:H52"/>
    <mergeCell ref="G33:H44"/>
    <mergeCell ref="G23:H32"/>
    <mergeCell ref="G15:H22"/>
    <mergeCell ref="E79:F81"/>
    <mergeCell ref="E69:F71"/>
    <mergeCell ref="E61:E68"/>
    <mergeCell ref="E82:E87"/>
    <mergeCell ref="I53:I60"/>
    <mergeCell ref="I61:I71"/>
    <mergeCell ref="B61:B71"/>
    <mergeCell ref="I72:I81"/>
    <mergeCell ref="B72:B81"/>
    <mergeCell ref="I82:I90"/>
    <mergeCell ref="B82:B90"/>
    <mergeCell ref="E88:F90"/>
    <mergeCell ref="H53:H60"/>
    <mergeCell ref="G72:G81"/>
    <mergeCell ref="G82:G90"/>
    <mergeCell ref="H82:H90"/>
    <mergeCell ref="F82:F87"/>
    <mergeCell ref="H61:H71"/>
    <mergeCell ref="E72:E78"/>
    <mergeCell ref="F72:F78"/>
    <mergeCell ref="I91:I102"/>
    <mergeCell ref="B91:B102"/>
    <mergeCell ref="B103:B108"/>
    <mergeCell ref="E100:F102"/>
    <mergeCell ref="E103:H108"/>
    <mergeCell ref="E91:E99"/>
    <mergeCell ref="H91:H102"/>
    <mergeCell ref="F91:F99"/>
    <mergeCell ref="G91:G102"/>
    <mergeCell ref="C2:H2"/>
    <mergeCell ref="B3:I3"/>
    <mergeCell ref="B4:I4"/>
    <mergeCell ref="C8:F8"/>
    <mergeCell ref="B7:B9"/>
    <mergeCell ref="C13:F13"/>
    <mergeCell ref="F10:F12"/>
    <mergeCell ref="B10:B14"/>
    <mergeCell ref="I7:I9"/>
    <mergeCell ref="I10:I14"/>
    <mergeCell ref="C5:D5"/>
    <mergeCell ref="G10:H14"/>
    <mergeCell ref="G7:H9"/>
    <mergeCell ref="E10:E12"/>
    <mergeCell ref="G6:H6"/>
    <mergeCell ref="B116:B119"/>
    <mergeCell ref="B124:B128"/>
    <mergeCell ref="B129:B135"/>
    <mergeCell ref="H120:H122"/>
    <mergeCell ref="H109:H114"/>
    <mergeCell ref="F109:F111"/>
    <mergeCell ref="C51:F51"/>
    <mergeCell ref="E53:E60"/>
    <mergeCell ref="E120:G122"/>
    <mergeCell ref="E124:G127"/>
    <mergeCell ref="E129:G132"/>
    <mergeCell ref="E116:G119"/>
    <mergeCell ref="C128:G128"/>
    <mergeCell ref="C123:G123"/>
    <mergeCell ref="G61:G71"/>
    <mergeCell ref="F53:F60"/>
    <mergeCell ref="G53:G60"/>
    <mergeCell ref="F61:F68"/>
    <mergeCell ref="B120:B123"/>
    <mergeCell ref="H124:H127"/>
    <mergeCell ref="H129:H132"/>
    <mergeCell ref="H116:H119"/>
    <mergeCell ref="H72:H81"/>
    <mergeCell ref="B53:B60"/>
    <mergeCell ref="B109:B115"/>
    <mergeCell ref="E112:G114"/>
    <mergeCell ref="C115:G115"/>
    <mergeCell ref="E109:E111"/>
    <mergeCell ref="G109:G111"/>
    <mergeCell ref="B15:B22"/>
    <mergeCell ref="F23:F29"/>
    <mergeCell ref="E23:E29"/>
    <mergeCell ref="C30:F30"/>
    <mergeCell ref="E33:E42"/>
    <mergeCell ref="C43:F43"/>
    <mergeCell ref="B33:B44"/>
    <mergeCell ref="E45:E50"/>
    <mergeCell ref="B45:B52"/>
    <mergeCell ref="E15:E20"/>
    <mergeCell ref="F15:F20"/>
    <mergeCell ref="F33:F42"/>
    <mergeCell ref="F45:F50"/>
    <mergeCell ref="C21:F21"/>
    <mergeCell ref="F31:F32"/>
  </mergeCells>
  <hyperlinks>
    <hyperlink ref="B4" r:id="rId1" xr:uid="{F032E798-CF22-49F2-9384-EED48634ACD9}"/>
  </hyperlinks>
  <pageMargins left="0.31496062992125984" right="0.31496062992125984" top="0.15748031496062992" bottom="0.15748031496062992" header="0.31496062992125984" footer="0.31496062992125984"/>
  <pageSetup paperSize="9" orientation="portrait" r:id="rId2"/>
  <headerFooter>
    <oddFooter>&amp;C&amp;P/&amp;N&amp;R&amp;D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715-22BD-4040-87A8-A81AE117692C}">
  <sheetPr codeName="Feuil12"/>
  <dimension ref="B1:I47"/>
  <sheetViews>
    <sheetView showGridLines="0" topLeftCell="A3" workbookViewId="0">
      <selection activeCell="E42" sqref="E42"/>
    </sheetView>
  </sheetViews>
  <sheetFormatPr baseColWidth="10" defaultRowHeight="15" x14ac:dyDescent="0.2"/>
  <cols>
    <col min="2" max="2" width="33.33203125" customWidth="1"/>
    <col min="3" max="3" width="20.5" customWidth="1"/>
    <col min="4" max="4" width="34.33203125" hidden="1" customWidth="1"/>
    <col min="5" max="5" width="21.5" customWidth="1"/>
    <col min="6" max="6" width="17.6640625" customWidth="1"/>
    <col min="9" max="9" width="38.83203125" bestFit="1" customWidth="1"/>
  </cols>
  <sheetData>
    <row r="1" spans="2:9" ht="16" thickBot="1" x14ac:dyDescent="0.25"/>
    <row r="2" spans="2:9" ht="110" customHeight="1" x14ac:dyDescent="0.2">
      <c r="B2" s="329"/>
      <c r="C2" s="519" t="s">
        <v>693</v>
      </c>
      <c r="D2" s="520"/>
      <c r="E2" s="520"/>
      <c r="F2" s="520"/>
      <c r="G2" s="520"/>
      <c r="H2" s="521"/>
      <c r="I2" s="330">
        <v>45051</v>
      </c>
    </row>
    <row r="3" spans="2:9" ht="205.5" customHeight="1" x14ac:dyDescent="0.2">
      <c r="B3" s="548" t="s">
        <v>694</v>
      </c>
      <c r="C3" s="549"/>
      <c r="D3" s="549"/>
      <c r="E3" s="549"/>
      <c r="F3" s="549"/>
      <c r="G3" s="549"/>
      <c r="H3" s="549"/>
      <c r="I3" s="550"/>
    </row>
    <row r="4" spans="2:9" s="159" customFormat="1" ht="20" customHeight="1" x14ac:dyDescent="0.2">
      <c r="B4" s="548"/>
      <c r="C4" s="549"/>
      <c r="D4" s="549"/>
      <c r="E4" s="549"/>
      <c r="F4" s="549"/>
      <c r="G4" s="549"/>
      <c r="H4" s="549"/>
      <c r="I4" s="550"/>
    </row>
    <row r="5" spans="2:9" ht="19.5" customHeight="1" thickBot="1" x14ac:dyDescent="0.25">
      <c r="B5" s="551" t="s">
        <v>346</v>
      </c>
      <c r="C5" s="552"/>
      <c r="D5" s="552"/>
      <c r="E5" s="552"/>
      <c r="F5" s="552"/>
      <c r="G5" s="552"/>
      <c r="H5" s="552"/>
      <c r="I5" s="553"/>
    </row>
    <row r="6" spans="2:9" ht="14.5" customHeight="1" x14ac:dyDescent="0.2">
      <c r="B6" s="532" t="s">
        <v>69</v>
      </c>
      <c r="C6" s="525" t="s">
        <v>695</v>
      </c>
      <c r="D6" s="526"/>
      <c r="E6" s="534" t="s">
        <v>420</v>
      </c>
      <c r="F6" s="536" t="s">
        <v>316</v>
      </c>
      <c r="G6" s="538" t="s">
        <v>347</v>
      </c>
      <c r="H6" s="539"/>
      <c r="I6" s="587" t="s">
        <v>696</v>
      </c>
    </row>
    <row r="7" spans="2:9" ht="16" thickBot="1" x14ac:dyDescent="0.25">
      <c r="B7" s="533"/>
      <c r="C7" s="527"/>
      <c r="D7" s="528"/>
      <c r="E7" s="535"/>
      <c r="F7" s="537"/>
      <c r="G7" s="540"/>
      <c r="H7" s="541"/>
      <c r="I7" s="588"/>
    </row>
    <row r="8" spans="2:9" ht="16" x14ac:dyDescent="0.2">
      <c r="B8" s="522" t="s">
        <v>697</v>
      </c>
      <c r="C8" s="326" t="s">
        <v>98</v>
      </c>
      <c r="D8" s="326" t="s">
        <v>515</v>
      </c>
      <c r="E8" s="325"/>
      <c r="F8" s="310" t="s">
        <v>609</v>
      </c>
      <c r="G8" s="554" t="s">
        <v>73</v>
      </c>
      <c r="H8" s="554"/>
      <c r="I8" s="589" t="s">
        <v>698</v>
      </c>
    </row>
    <row r="9" spans="2:9" x14ac:dyDescent="0.2">
      <c r="B9" s="523"/>
      <c r="C9" s="542" t="s">
        <v>631</v>
      </c>
      <c r="D9" s="543"/>
      <c r="E9" s="543"/>
      <c r="F9" s="544"/>
      <c r="G9" s="555"/>
      <c r="H9" s="555"/>
      <c r="I9" s="574"/>
    </row>
    <row r="10" spans="2:9" ht="17" thickBot="1" x14ac:dyDescent="0.25">
      <c r="B10" s="524"/>
      <c r="C10" s="333">
        <v>84075178</v>
      </c>
      <c r="D10" s="333" t="s">
        <v>495</v>
      </c>
      <c r="E10" s="340"/>
      <c r="F10" s="323" t="s">
        <v>610</v>
      </c>
      <c r="G10" s="556"/>
      <c r="H10" s="556"/>
      <c r="I10" s="575"/>
    </row>
    <row r="11" spans="2:9" x14ac:dyDescent="0.2">
      <c r="B11" s="522" t="s">
        <v>626</v>
      </c>
      <c r="C11" s="326" t="s">
        <v>26</v>
      </c>
      <c r="D11" s="326" t="s">
        <v>707</v>
      </c>
      <c r="E11" s="325"/>
      <c r="F11" s="341">
        <v>84058971</v>
      </c>
      <c r="G11" s="558">
        <v>84058991</v>
      </c>
      <c r="H11" s="558"/>
      <c r="I11" s="559"/>
    </row>
    <row r="12" spans="2:9" x14ac:dyDescent="0.2">
      <c r="B12" s="523"/>
      <c r="C12" s="321" t="s">
        <v>699</v>
      </c>
      <c r="D12" s="321" t="s">
        <v>708</v>
      </c>
      <c r="E12" s="557"/>
      <c r="F12" s="557"/>
      <c r="G12" s="557"/>
      <c r="H12" s="557"/>
      <c r="I12" s="560"/>
    </row>
    <row r="13" spans="2:9" x14ac:dyDescent="0.2">
      <c r="B13" s="523"/>
      <c r="C13" s="545" t="s">
        <v>631</v>
      </c>
      <c r="D13" s="546"/>
      <c r="E13" s="546"/>
      <c r="F13" s="546"/>
      <c r="G13" s="546"/>
      <c r="H13" s="547"/>
      <c r="I13" s="560"/>
    </row>
    <row r="14" spans="2:9" ht="16" thickBot="1" x14ac:dyDescent="0.25">
      <c r="B14" s="529"/>
      <c r="C14" s="324" t="s">
        <v>709</v>
      </c>
      <c r="D14" s="324" t="s">
        <v>710</v>
      </c>
      <c r="E14" s="328"/>
      <c r="F14" s="322">
        <v>84075189</v>
      </c>
      <c r="G14" s="530">
        <v>84075198</v>
      </c>
      <c r="H14" s="531"/>
      <c r="I14" s="561"/>
    </row>
    <row r="15" spans="2:9" x14ac:dyDescent="0.2">
      <c r="B15" s="522" t="s">
        <v>700</v>
      </c>
      <c r="C15" s="326" t="s">
        <v>2</v>
      </c>
      <c r="D15" s="326" t="s">
        <v>711</v>
      </c>
      <c r="E15" s="325"/>
      <c r="F15" s="310">
        <v>84058972</v>
      </c>
      <c r="G15" s="558">
        <v>84058992</v>
      </c>
      <c r="H15" s="558"/>
      <c r="I15" s="559"/>
    </row>
    <row r="16" spans="2:9" x14ac:dyDescent="0.2">
      <c r="B16" s="523"/>
      <c r="C16" s="545" t="s">
        <v>631</v>
      </c>
      <c r="D16" s="546"/>
      <c r="E16" s="546"/>
      <c r="F16" s="546"/>
      <c r="G16" s="546"/>
      <c r="H16" s="547"/>
      <c r="I16" s="560"/>
    </row>
    <row r="17" spans="2:9" ht="16" thickBot="1" x14ac:dyDescent="0.25">
      <c r="B17" s="529"/>
      <c r="C17" s="324" t="s">
        <v>712</v>
      </c>
      <c r="D17" s="324" t="s">
        <v>713</v>
      </c>
      <c r="E17" s="328"/>
      <c r="F17" s="322">
        <v>84075190</v>
      </c>
      <c r="G17" s="576">
        <v>84075199</v>
      </c>
      <c r="H17" s="576"/>
      <c r="I17" s="561"/>
    </row>
    <row r="18" spans="2:9" x14ac:dyDescent="0.2">
      <c r="B18" s="522" t="s">
        <v>701</v>
      </c>
      <c r="C18" s="326" t="s">
        <v>714</v>
      </c>
      <c r="D18" s="326" t="s">
        <v>512</v>
      </c>
      <c r="E18" s="325"/>
      <c r="F18" s="310">
        <v>84058973</v>
      </c>
      <c r="G18" s="581" t="s">
        <v>73</v>
      </c>
      <c r="H18" s="582"/>
      <c r="I18" s="559"/>
    </row>
    <row r="19" spans="2:9" x14ac:dyDescent="0.2">
      <c r="B19" s="523"/>
      <c r="C19" s="542" t="s">
        <v>631</v>
      </c>
      <c r="D19" s="543"/>
      <c r="E19" s="543"/>
      <c r="F19" s="544"/>
      <c r="G19" s="583"/>
      <c r="H19" s="584"/>
      <c r="I19" s="560"/>
    </row>
    <row r="20" spans="2:9" ht="16" thickBot="1" x14ac:dyDescent="0.25">
      <c r="B20" s="529"/>
      <c r="C20" s="324" t="s">
        <v>715</v>
      </c>
      <c r="D20" s="324" t="s">
        <v>716</v>
      </c>
      <c r="E20" s="328"/>
      <c r="F20" s="322">
        <v>84075191</v>
      </c>
      <c r="G20" s="585"/>
      <c r="H20" s="586"/>
      <c r="I20" s="561"/>
    </row>
    <row r="21" spans="2:9" x14ac:dyDescent="0.2">
      <c r="B21" s="522" t="s">
        <v>702</v>
      </c>
      <c r="C21" s="326" t="s">
        <v>15</v>
      </c>
      <c r="D21" s="326" t="s">
        <v>717</v>
      </c>
      <c r="E21" s="325"/>
      <c r="F21" s="310">
        <v>84058993</v>
      </c>
      <c r="G21" s="558" t="s">
        <v>421</v>
      </c>
      <c r="H21" s="558"/>
      <c r="I21" s="578" t="s">
        <v>703</v>
      </c>
    </row>
    <row r="22" spans="2:9" x14ac:dyDescent="0.2">
      <c r="B22" s="523"/>
      <c r="C22" s="545" t="s">
        <v>631</v>
      </c>
      <c r="D22" s="546"/>
      <c r="E22" s="546"/>
      <c r="F22" s="546"/>
      <c r="G22" s="546"/>
      <c r="H22" s="547"/>
      <c r="I22" s="579"/>
    </row>
    <row r="23" spans="2:9" ht="16" thickBot="1" x14ac:dyDescent="0.25">
      <c r="B23" s="529"/>
      <c r="C23" s="324" t="s">
        <v>718</v>
      </c>
      <c r="D23" s="324" t="s">
        <v>501</v>
      </c>
      <c r="E23" s="328"/>
      <c r="F23" s="322">
        <v>84075192</v>
      </c>
      <c r="G23" s="576" t="s">
        <v>422</v>
      </c>
      <c r="H23" s="576"/>
      <c r="I23" s="580"/>
    </row>
    <row r="24" spans="2:9" x14ac:dyDescent="0.2">
      <c r="B24" s="522" t="s">
        <v>704</v>
      </c>
      <c r="C24" s="326" t="s">
        <v>100</v>
      </c>
      <c r="D24" s="326" t="s">
        <v>719</v>
      </c>
      <c r="E24" s="325"/>
      <c r="F24" s="310">
        <v>84058975</v>
      </c>
      <c r="G24" s="554" t="s">
        <v>73</v>
      </c>
      <c r="H24" s="554"/>
      <c r="I24" s="559"/>
    </row>
    <row r="25" spans="2:9" x14ac:dyDescent="0.2">
      <c r="B25" s="523"/>
      <c r="C25" s="542" t="s">
        <v>631</v>
      </c>
      <c r="D25" s="543"/>
      <c r="E25" s="543"/>
      <c r="F25" s="544"/>
      <c r="G25" s="555"/>
      <c r="H25" s="555"/>
      <c r="I25" s="560"/>
    </row>
    <row r="26" spans="2:9" ht="16" thickBot="1" x14ac:dyDescent="0.25">
      <c r="B26" s="529"/>
      <c r="C26" s="324" t="s">
        <v>720</v>
      </c>
      <c r="D26" s="324" t="s">
        <v>721</v>
      </c>
      <c r="E26" s="328"/>
      <c r="F26" s="322">
        <v>84075193</v>
      </c>
      <c r="G26" s="570"/>
      <c r="H26" s="570"/>
      <c r="I26" s="561"/>
    </row>
    <row r="27" spans="2:9" x14ac:dyDescent="0.2">
      <c r="B27" s="522" t="s">
        <v>321</v>
      </c>
      <c r="C27" s="326" t="s">
        <v>21</v>
      </c>
      <c r="D27" s="326" t="s">
        <v>722</v>
      </c>
      <c r="E27" s="562"/>
      <c r="F27" s="564">
        <v>84058994</v>
      </c>
      <c r="G27" s="566">
        <v>84058976</v>
      </c>
      <c r="H27" s="567"/>
      <c r="I27" s="559"/>
    </row>
    <row r="28" spans="2:9" x14ac:dyDescent="0.2">
      <c r="B28" s="523"/>
      <c r="C28" s="331" t="s">
        <v>237</v>
      </c>
      <c r="D28" s="332" t="s">
        <v>723</v>
      </c>
      <c r="E28" s="563"/>
      <c r="F28" s="565"/>
      <c r="G28" s="568"/>
      <c r="H28" s="569"/>
      <c r="I28" s="560"/>
    </row>
    <row r="29" spans="2:9" x14ac:dyDescent="0.2">
      <c r="B29" s="523"/>
      <c r="C29" s="545" t="s">
        <v>631</v>
      </c>
      <c r="D29" s="546"/>
      <c r="E29" s="546"/>
      <c r="F29" s="546"/>
      <c r="G29" s="546"/>
      <c r="H29" s="547"/>
      <c r="I29" s="560"/>
    </row>
    <row r="30" spans="2:9" ht="16" thickBot="1" x14ac:dyDescent="0.25">
      <c r="B30" s="529"/>
      <c r="C30" s="324" t="s">
        <v>724</v>
      </c>
      <c r="D30" s="324" t="s">
        <v>725</v>
      </c>
      <c r="E30" s="328"/>
      <c r="F30" s="322">
        <v>84075194</v>
      </c>
      <c r="G30" s="576">
        <v>84075202</v>
      </c>
      <c r="H30" s="576"/>
      <c r="I30" s="561"/>
    </row>
    <row r="31" spans="2:9" x14ac:dyDescent="0.2">
      <c r="B31" s="522" t="s">
        <v>324</v>
      </c>
      <c r="C31" s="326" t="s">
        <v>348</v>
      </c>
      <c r="D31" s="326" t="s">
        <v>489</v>
      </c>
      <c r="E31" s="325"/>
      <c r="F31" s="310">
        <v>84058977</v>
      </c>
      <c r="G31" s="554" t="s">
        <v>73</v>
      </c>
      <c r="H31" s="554"/>
      <c r="I31" s="559"/>
    </row>
    <row r="32" spans="2:9" x14ac:dyDescent="0.2">
      <c r="B32" s="523"/>
      <c r="C32" s="542" t="s">
        <v>631</v>
      </c>
      <c r="D32" s="543"/>
      <c r="E32" s="543"/>
      <c r="F32" s="544"/>
      <c r="G32" s="555"/>
      <c r="H32" s="555"/>
      <c r="I32" s="560"/>
    </row>
    <row r="33" spans="2:9" ht="16" thickBot="1" x14ac:dyDescent="0.25">
      <c r="B33" s="529"/>
      <c r="C33" s="324" t="s">
        <v>726</v>
      </c>
      <c r="D33" s="324" t="s">
        <v>727</v>
      </c>
      <c r="E33" s="328"/>
      <c r="F33" s="322">
        <v>84077841</v>
      </c>
      <c r="G33" s="570"/>
      <c r="H33" s="570"/>
      <c r="I33" s="561"/>
    </row>
    <row r="34" spans="2:9" x14ac:dyDescent="0.2">
      <c r="B34" s="522" t="s">
        <v>325</v>
      </c>
      <c r="C34" s="336"/>
      <c r="D34" s="326"/>
      <c r="E34" s="327" t="s">
        <v>101</v>
      </c>
      <c r="F34" s="310">
        <v>84075207</v>
      </c>
      <c r="G34" s="554" t="s">
        <v>73</v>
      </c>
      <c r="H34" s="554"/>
      <c r="I34" s="559"/>
    </row>
    <row r="35" spans="2:9" x14ac:dyDescent="0.2">
      <c r="B35" s="523"/>
      <c r="C35" s="542" t="s">
        <v>631</v>
      </c>
      <c r="D35" s="543"/>
      <c r="E35" s="543"/>
      <c r="F35" s="544"/>
      <c r="G35" s="555"/>
      <c r="H35" s="555"/>
      <c r="I35" s="560"/>
    </row>
    <row r="36" spans="2:9" ht="16" thickBot="1" x14ac:dyDescent="0.25">
      <c r="B36" s="529"/>
      <c r="C36" s="338"/>
      <c r="D36" s="333"/>
      <c r="E36" s="323">
        <v>84075186</v>
      </c>
      <c r="F36" s="323">
        <v>84075196</v>
      </c>
      <c r="G36" s="556"/>
      <c r="H36" s="556"/>
      <c r="I36" s="561"/>
    </row>
    <row r="37" spans="2:9" x14ac:dyDescent="0.2">
      <c r="B37" s="596" t="s">
        <v>327</v>
      </c>
      <c r="C37" s="339" t="s">
        <v>102</v>
      </c>
      <c r="D37" s="339" t="s">
        <v>728</v>
      </c>
      <c r="E37" s="572"/>
      <c r="F37" s="571" t="s">
        <v>423</v>
      </c>
      <c r="G37" s="557">
        <v>84058952</v>
      </c>
      <c r="H37" s="557"/>
      <c r="I37" s="573" t="s">
        <v>705</v>
      </c>
    </row>
    <row r="38" spans="2:9" x14ac:dyDescent="0.2">
      <c r="B38" s="523"/>
      <c r="C38" s="339" t="s">
        <v>58</v>
      </c>
      <c r="D38" s="339" t="s">
        <v>729</v>
      </c>
      <c r="E38" s="572"/>
      <c r="F38" s="571"/>
      <c r="G38" s="557"/>
      <c r="H38" s="557"/>
      <c r="I38" s="574"/>
    </row>
    <row r="39" spans="2:9" ht="27" customHeight="1" x14ac:dyDescent="0.2">
      <c r="B39" s="523"/>
      <c r="C39" s="321" t="s">
        <v>55</v>
      </c>
      <c r="D39" s="339"/>
      <c r="E39" s="577"/>
      <c r="F39" s="577"/>
      <c r="G39" s="557"/>
      <c r="H39" s="557"/>
      <c r="I39" s="574"/>
    </row>
    <row r="40" spans="2:9" ht="17.25" customHeight="1" x14ac:dyDescent="0.2">
      <c r="B40" s="523"/>
      <c r="C40" s="545" t="s">
        <v>631</v>
      </c>
      <c r="D40" s="546"/>
      <c r="E40" s="546"/>
      <c r="F40" s="546"/>
      <c r="G40" s="546"/>
      <c r="H40" s="547"/>
      <c r="I40" s="574"/>
    </row>
    <row r="41" spans="2:9" ht="17" thickBot="1" x14ac:dyDescent="0.25">
      <c r="B41" s="524"/>
      <c r="C41" s="333" t="s">
        <v>730</v>
      </c>
      <c r="D41" s="333" t="s">
        <v>731</v>
      </c>
      <c r="E41" s="334"/>
      <c r="F41" s="323" t="s">
        <v>424</v>
      </c>
      <c r="G41" s="597">
        <v>84110561</v>
      </c>
      <c r="H41" s="597"/>
      <c r="I41" s="575"/>
    </row>
    <row r="42" spans="2:9" x14ac:dyDescent="0.2">
      <c r="B42" s="522" t="s">
        <v>332</v>
      </c>
      <c r="C42" s="336"/>
      <c r="D42" s="326"/>
      <c r="E42" s="327" t="s">
        <v>106</v>
      </c>
      <c r="F42" s="325"/>
      <c r="G42" s="558">
        <v>84058954</v>
      </c>
      <c r="H42" s="558"/>
      <c r="I42" s="559"/>
    </row>
    <row r="43" spans="2:9" x14ac:dyDescent="0.2">
      <c r="B43" s="595"/>
      <c r="C43" s="321" t="s">
        <v>706</v>
      </c>
      <c r="D43" s="321" t="s">
        <v>732</v>
      </c>
      <c r="E43" s="557"/>
      <c r="F43" s="557"/>
      <c r="G43" s="557"/>
      <c r="H43" s="557"/>
      <c r="I43" s="590"/>
    </row>
    <row r="44" spans="2:9" x14ac:dyDescent="0.2">
      <c r="B44" s="595"/>
      <c r="C44" s="321" t="s">
        <v>53</v>
      </c>
      <c r="D44" s="321" t="s">
        <v>527</v>
      </c>
      <c r="E44" s="557"/>
      <c r="F44" s="557"/>
      <c r="G44" s="557"/>
      <c r="H44" s="557"/>
      <c r="I44" s="590"/>
    </row>
    <row r="45" spans="2:9" x14ac:dyDescent="0.2">
      <c r="B45" s="595"/>
      <c r="C45" s="594" t="s">
        <v>631</v>
      </c>
      <c r="D45" s="594"/>
      <c r="E45" s="594"/>
      <c r="F45" s="594"/>
      <c r="G45" s="594"/>
      <c r="H45" s="594"/>
      <c r="I45" s="590"/>
    </row>
    <row r="46" spans="2:9" ht="16" thickBot="1" x14ac:dyDescent="0.25">
      <c r="B46" s="529"/>
      <c r="C46" s="337"/>
      <c r="D46" s="335"/>
      <c r="E46" s="322">
        <v>84075188</v>
      </c>
      <c r="F46" s="328"/>
      <c r="G46" s="598">
        <v>84075205</v>
      </c>
      <c r="H46" s="598"/>
      <c r="I46" s="561"/>
    </row>
    <row r="47" spans="2:9" ht="81" customHeight="1" thickBot="1" x14ac:dyDescent="0.25">
      <c r="B47" s="591" t="s">
        <v>733</v>
      </c>
      <c r="C47" s="592"/>
      <c r="D47" s="592"/>
      <c r="E47" s="592"/>
      <c r="F47" s="592"/>
      <c r="G47" s="592"/>
      <c r="H47" s="592"/>
      <c r="I47" s="593"/>
    </row>
  </sheetData>
  <mergeCells count="67">
    <mergeCell ref="B18:B20"/>
    <mergeCell ref="B21:B23"/>
    <mergeCell ref="G17:H17"/>
    <mergeCell ref="B15:B17"/>
    <mergeCell ref="G15:H15"/>
    <mergeCell ref="G23:H23"/>
    <mergeCell ref="C22:H22"/>
    <mergeCell ref="G21:H21"/>
    <mergeCell ref="I42:I46"/>
    <mergeCell ref="B47:I47"/>
    <mergeCell ref="G31:H33"/>
    <mergeCell ref="G34:H36"/>
    <mergeCell ref="C40:H40"/>
    <mergeCell ref="C45:H45"/>
    <mergeCell ref="G42:H44"/>
    <mergeCell ref="B31:B33"/>
    <mergeCell ref="B42:B46"/>
    <mergeCell ref="B37:B41"/>
    <mergeCell ref="G41:H41"/>
    <mergeCell ref="B34:B36"/>
    <mergeCell ref="G46:H46"/>
    <mergeCell ref="E43:F44"/>
    <mergeCell ref="G37:H39"/>
    <mergeCell ref="I31:I33"/>
    <mergeCell ref="I6:I7"/>
    <mergeCell ref="I8:I10"/>
    <mergeCell ref="I11:I14"/>
    <mergeCell ref="C16:H16"/>
    <mergeCell ref="C19:F19"/>
    <mergeCell ref="F37:F38"/>
    <mergeCell ref="E37:E38"/>
    <mergeCell ref="I15:I17"/>
    <mergeCell ref="I18:I20"/>
    <mergeCell ref="I37:I41"/>
    <mergeCell ref="I27:I30"/>
    <mergeCell ref="I34:I36"/>
    <mergeCell ref="C32:F32"/>
    <mergeCell ref="C35:F35"/>
    <mergeCell ref="C29:H29"/>
    <mergeCell ref="G30:H30"/>
    <mergeCell ref="E39:F39"/>
    <mergeCell ref="I21:I23"/>
    <mergeCell ref="G18:H20"/>
    <mergeCell ref="B24:B26"/>
    <mergeCell ref="B27:B30"/>
    <mergeCell ref="I24:I26"/>
    <mergeCell ref="C25:F25"/>
    <mergeCell ref="E27:E28"/>
    <mergeCell ref="F27:F28"/>
    <mergeCell ref="G27:H28"/>
    <mergeCell ref="G24:H26"/>
    <mergeCell ref="C2:H2"/>
    <mergeCell ref="B8:B10"/>
    <mergeCell ref="C6:D7"/>
    <mergeCell ref="B11:B14"/>
    <mergeCell ref="G14:H14"/>
    <mergeCell ref="B6:B7"/>
    <mergeCell ref="E6:E7"/>
    <mergeCell ref="F6:F7"/>
    <mergeCell ref="G6:H7"/>
    <mergeCell ref="C9:F9"/>
    <mergeCell ref="C13:H13"/>
    <mergeCell ref="B3:I4"/>
    <mergeCell ref="B5:I5"/>
    <mergeCell ref="G8:H10"/>
    <mergeCell ref="E12:F12"/>
    <mergeCell ref="G11:H12"/>
  </mergeCells>
  <hyperlinks>
    <hyperlink ref="B5" r:id="rId1" xr:uid="{2B12F654-257C-4B11-8E16-55BDF6649149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EDAC-4F45-4FFA-8FDF-8948F319C5CA}">
  <sheetPr codeName="Feuil13"/>
  <dimension ref="A1:G199"/>
  <sheetViews>
    <sheetView topLeftCell="A42" workbookViewId="0">
      <selection activeCell="B66" sqref="B66"/>
    </sheetView>
  </sheetViews>
  <sheetFormatPr baseColWidth="10" defaultRowHeight="15" x14ac:dyDescent="0.2"/>
  <cols>
    <col min="1" max="1" width="57.5" customWidth="1"/>
    <col min="2" max="2" width="42.1640625" customWidth="1"/>
    <col min="3" max="3" width="47.5" customWidth="1"/>
    <col min="4" max="4" width="65.83203125" bestFit="1" customWidth="1"/>
    <col min="5" max="5" width="30.83203125" customWidth="1"/>
    <col min="6" max="6" width="25" customWidth="1"/>
  </cols>
  <sheetData>
    <row r="1" spans="1:6" x14ac:dyDescent="0.2">
      <c r="A1" t="s">
        <v>117</v>
      </c>
    </row>
    <row r="4" spans="1:6" x14ac:dyDescent="0.2">
      <c r="A4" t="s">
        <v>116</v>
      </c>
      <c r="B4" s="56" t="s">
        <v>115</v>
      </c>
      <c r="C4" s="24" t="s">
        <v>110</v>
      </c>
      <c r="D4" s="24" t="s">
        <v>114</v>
      </c>
      <c r="E4" s="24" t="s">
        <v>113</v>
      </c>
      <c r="F4" s="24" t="s">
        <v>112</v>
      </c>
    </row>
    <row r="5" spans="1:6" x14ac:dyDescent="0.2">
      <c r="B5" s="56"/>
    </row>
    <row r="6" spans="1:6" x14ac:dyDescent="0.2">
      <c r="A6" t="s">
        <v>187</v>
      </c>
      <c r="B6" s="56" t="str">
        <f>IF(MENU!$F$1=Language!C$4,C6,IF(MENU!$F$1=Language!D$4,D6,IF(MENU!$F$1=Language!E$4,E6,IF(MENU!$F$1=Language!F$4,F6,D6))))</f>
        <v>GME wire ropes</v>
      </c>
      <c r="C6" t="s">
        <v>187</v>
      </c>
      <c r="D6" t="s">
        <v>150</v>
      </c>
    </row>
    <row r="7" spans="1:6" x14ac:dyDescent="0.2">
      <c r="A7" t="s">
        <v>357</v>
      </c>
      <c r="B7" s="56" t="str">
        <f>IF(MENU!$F$1=Language!C$4,C7,IF(MENU!$F$1=Language!D$4,D7,IF(MENU!$F$1=Language!E$4,E7,IF(MENU!$F$1=Language!F$4,F7,D7))))</f>
        <v>MR wire ropes</v>
      </c>
      <c r="C7" t="s">
        <v>357</v>
      </c>
      <c r="D7" t="s">
        <v>358</v>
      </c>
    </row>
    <row r="8" spans="1:6" x14ac:dyDescent="0.2">
      <c r="A8" s="55" t="s">
        <v>188</v>
      </c>
      <c r="B8" s="56" t="str">
        <f>IF(MENU!$F$1=Language!C$4,C8,IF(MENU!$F$1=Language!D$4,D8,IF(MENU!$F$1=Language!E$4,E8,IF(MENU!$F$1=Language!F$4,F8,D8))))</f>
        <v>GMA wire ropes</v>
      </c>
      <c r="C8" s="55" t="s">
        <v>188</v>
      </c>
      <c r="D8" s="55" t="s">
        <v>151</v>
      </c>
    </row>
    <row r="9" spans="1:6" x14ac:dyDescent="0.2">
      <c r="A9" s="58" t="s">
        <v>142</v>
      </c>
      <c r="B9" s="56" t="str">
        <f>IF(MENU!$F$1=Language!C$4,C9,IF(MENU!$F$1=Language!D$4,D9,IF(MENU!$F$1=Language!E$4,E9,IF(MENU!$F$1=Language!F$4,F9,D9))))</f>
        <v>Selection</v>
      </c>
      <c r="C9" s="58" t="s">
        <v>142</v>
      </c>
      <c r="D9" s="58" t="s">
        <v>141</v>
      </c>
    </row>
    <row r="10" spans="1:6" x14ac:dyDescent="0.2">
      <c r="A10" s="53" t="s">
        <v>108</v>
      </c>
      <c r="B10" s="56" t="str">
        <f>IF(MENU!$F$1=Language!C$4,C10,IF(MENU!$F$1=Language!D$4,D10,IF(MENU!$F$1=Language!E$4,E10,IF(MENU!$F$1=Language!F$4,F10,D10))))</f>
        <v>Crane</v>
      </c>
      <c r="C10" s="55" t="s">
        <v>108</v>
      </c>
      <c r="D10" s="55" t="s">
        <v>143</v>
      </c>
    </row>
    <row r="11" spans="1:6" x14ac:dyDescent="0.2">
      <c r="A11" s="53" t="s">
        <v>124</v>
      </c>
      <c r="B11" s="56" t="str">
        <f>IF(MENU!$F$1=Language!C$4,C11,IF(MENU!$F$1=Language!D$4,D11,IF(MENU!$F$1=Language!E$4,E11,IF(MENU!$F$1=Language!F$4,F11,D11))))</f>
        <v>HUH (m)</v>
      </c>
      <c r="C11" s="55" t="s">
        <v>124</v>
      </c>
      <c r="D11" s="55" t="s">
        <v>144</v>
      </c>
    </row>
    <row r="12" spans="1:6" x14ac:dyDescent="0.2">
      <c r="A12" s="53" t="s">
        <v>125</v>
      </c>
      <c r="B12" s="56" t="str">
        <f>IF(MENU!$F$1=Language!C$4,C12,IF(MENU!$F$1=Language!D$4,D12,IF(MENU!$F$1=Language!E$4,E12,IF(MENU!$F$1=Language!F$4,F12,D12))))</f>
        <v>Digging depth (m)</v>
      </c>
      <c r="C12" t="s">
        <v>125</v>
      </c>
      <c r="D12" s="55" t="s">
        <v>215</v>
      </c>
    </row>
    <row r="13" spans="1:6" x14ac:dyDescent="0.2">
      <c r="A13" s="53" t="s">
        <v>126</v>
      </c>
      <c r="B13" s="56" t="str">
        <f>IF(MENU!$F$1=Language!C$4,C13,IF(MENU!$F$1=Language!D$4,D13,IF(MENU!$F$1=Language!E$4,E13,IF(MENU!$F$1=Language!F$4,F13,D13))))</f>
        <v>Jib Length</v>
      </c>
      <c r="C13" s="55" t="s">
        <v>126</v>
      </c>
      <c r="D13" s="55" t="s">
        <v>197</v>
      </c>
    </row>
    <row r="14" spans="1:6" ht="24" x14ac:dyDescent="0.3">
      <c r="A14" s="52" t="s">
        <v>83</v>
      </c>
      <c r="B14" s="56" t="str">
        <f>IF(MENU!$F$1=Language!C$4,C14,IF(MENU!$F$1=Language!D$4,D14,IF(MENU!$F$1=Language!E$4,E14,IF(MENU!$F$1=Language!F$4,F14,D14))))</f>
        <v>Hoist rope</v>
      </c>
      <c r="C14" s="52" t="s">
        <v>83</v>
      </c>
      <c r="D14" s="55" t="s">
        <v>195</v>
      </c>
    </row>
    <row r="15" spans="1:6" ht="24" x14ac:dyDescent="0.3">
      <c r="A15" s="52" t="s">
        <v>87</v>
      </c>
      <c r="B15" s="56" t="str">
        <f>IF(MENU!$F$1=Language!C$4,C15,IF(MENU!$F$1=Language!D$4,D15,IF(MENU!$F$1=Language!E$4,E15,IF(MENU!$F$1=Language!F$4,F15,D15))))</f>
        <v>Trolley rope</v>
      </c>
      <c r="C15" s="52" t="s">
        <v>87</v>
      </c>
      <c r="D15" s="55" t="s">
        <v>196</v>
      </c>
    </row>
    <row r="16" spans="1:6" ht="24" x14ac:dyDescent="0.3">
      <c r="A16" s="52" t="s">
        <v>360</v>
      </c>
      <c r="B16" s="56" t="str">
        <f>IF(MENU!$F$1=Language!C$4,C16,IF(MENU!$F$1=Language!D$4,D16,IF(MENU!$F$1=Language!E$4,E16,IF(MENU!$F$1=Language!F$4,F16,D16))))</f>
        <v>Relevage rope</v>
      </c>
      <c r="C16" s="52" t="s">
        <v>360</v>
      </c>
      <c r="D16" s="55" t="s">
        <v>361</v>
      </c>
    </row>
    <row r="17" spans="1:4" ht="24" x14ac:dyDescent="0.3">
      <c r="A17" s="52" t="s">
        <v>362</v>
      </c>
      <c r="B17" s="56" t="str">
        <f>IF(MENU!$F$1=Language!C$4,C17,IF(MENU!$F$1=Language!D$4,D17,IF(MENU!$F$1=Language!E$4,E17,IF(MENU!$F$1=Language!F$4,F17,D17))))</f>
        <v>Auxiliary rope</v>
      </c>
      <c r="C17" s="52" t="s">
        <v>362</v>
      </c>
      <c r="D17" s="55" t="s">
        <v>379</v>
      </c>
    </row>
    <row r="18" spans="1:4" x14ac:dyDescent="0.2">
      <c r="A18" s="23" t="s">
        <v>69</v>
      </c>
      <c r="B18" s="56" t="str">
        <f>IF(MENU!$F$1=Language!C$4,C18,IF(MENU!$F$1=Language!D$4,D18,IF(MENU!$F$1=Language!E$4,E18,IF(MENU!$F$1=Language!F$4,F18,D18))))</f>
        <v>Diameter (mm)</v>
      </c>
      <c r="C18" s="23" t="s">
        <v>94</v>
      </c>
      <c r="D18" s="55" t="s">
        <v>149</v>
      </c>
    </row>
    <row r="19" spans="1:4" x14ac:dyDescent="0.2">
      <c r="A19" s="61" t="s">
        <v>119</v>
      </c>
      <c r="B19" s="56" t="str">
        <f>IF(MENU!$F$1=Language!C$4,C19,IF(MENU!$F$1=Language!D$4,D19,IF(MENU!$F$1=Language!E$4,E19,IF(MENU!$F$1=Language!F$4,F19,D19))))</f>
        <v>Rope reving</v>
      </c>
      <c r="C19" s="61" t="s">
        <v>119</v>
      </c>
      <c r="D19" s="55" t="s">
        <v>216</v>
      </c>
    </row>
    <row r="20" spans="1:4" x14ac:dyDescent="0.2">
      <c r="A20" s="61" t="s">
        <v>135</v>
      </c>
      <c r="B20" s="56" t="str">
        <f>IF(MENU!$F$1=Language!C$4,C20,IF(MENU!$F$1=Language!D$4,D20,IF(MENU!$F$1=Language!E$4,E20,IF(MENU!$F$1=Language!F$4,F20,D20))))</f>
        <v>Length (m)*</v>
      </c>
      <c r="C20" s="61" t="s">
        <v>135</v>
      </c>
      <c r="D20" s="55" t="s">
        <v>593</v>
      </c>
    </row>
    <row r="21" spans="1:4" x14ac:dyDescent="0.2">
      <c r="A21" s="55" t="s">
        <v>107</v>
      </c>
      <c r="B21" s="56" t="str">
        <f>IF(MENU!$F$1=Language!C$4,C21,IF(MENU!$F$1=Language!D$4,D21,IF(MENU!$F$1=Language!E$4,E21,IF(MENU!$F$1=Language!F$4,F21,D21))))</f>
        <v>Rope type</v>
      </c>
      <c r="C21" s="55" t="s">
        <v>107</v>
      </c>
      <c r="D21" s="55" t="s">
        <v>217</v>
      </c>
    </row>
    <row r="22" spans="1:4" x14ac:dyDescent="0.2">
      <c r="A22" s="64" t="s">
        <v>123</v>
      </c>
      <c r="B22" s="56" t="str">
        <f>IF(MENU!$F$1=Language!C$4,C22,IF(MENU!$F$1=Language!D$4,D22,IF(MENU!$F$1=Language!E$4,E22,IF(MENU!$F$1=Language!F$4,F22,D22))))</f>
        <v>REAR ROPE</v>
      </c>
      <c r="C22" s="64" t="s">
        <v>123</v>
      </c>
      <c r="D22" s="55" t="s">
        <v>146</v>
      </c>
    </row>
    <row r="23" spans="1:4" x14ac:dyDescent="0.2">
      <c r="A23" s="64" t="s">
        <v>122</v>
      </c>
      <c r="B23" s="56" t="str">
        <f>IF(MENU!$F$1=Language!C$4,C23,IF(MENU!$F$1=Language!D$4,D23,IF(MENU!$F$1=Language!E$4,E23,IF(MENU!$F$1=Language!F$4,F23,D23))))</f>
        <v>FRONT ROPE</v>
      </c>
      <c r="C23" s="64" t="s">
        <v>122</v>
      </c>
      <c r="D23" s="55" t="s">
        <v>147</v>
      </c>
    </row>
    <row r="24" spans="1:4" x14ac:dyDescent="0.2">
      <c r="A24" s="61" t="s">
        <v>120</v>
      </c>
      <c r="B24" s="56" t="str">
        <f>IF(MENU!$F$1=Language!C$4,C24,IF(MENU!$F$1=Language!D$4,D24,IF(MENU!$F$1=Language!E$4,E24,IF(MENU!$F$1=Language!F$4,F24,D24))))</f>
        <v>Build</v>
      </c>
      <c r="C24" s="61" t="s">
        <v>218</v>
      </c>
      <c r="D24" s="55" t="s">
        <v>145</v>
      </c>
    </row>
    <row r="25" spans="1:4" x14ac:dyDescent="0.2">
      <c r="A25" s="61" t="s">
        <v>121</v>
      </c>
      <c r="B25" s="56" t="str">
        <f>IF(MENU!$F$1=Language!C$4,C25,IF(MENU!$F$1=Language!D$4,D25,IF(MENU!$F$1=Language!E$4,E25,IF(MENU!$F$1=Language!F$4,F25,D25))))</f>
        <v>PN. with thimble</v>
      </c>
      <c r="C25" s="61" t="s">
        <v>121</v>
      </c>
      <c r="D25" s="55" t="s">
        <v>219</v>
      </c>
    </row>
    <row r="26" spans="1:4" x14ac:dyDescent="0.2">
      <c r="A26" s="61" t="s">
        <v>130</v>
      </c>
      <c r="B26" s="56" t="str">
        <f>IF(MENU!$F$1=Language!C$4,C26,IF(MENU!$F$1=Language!D$4,D26,IF(MENU!$F$1=Language!E$4,E26,IF(MENU!$F$1=Language!F$4,F26,D26))))</f>
        <v>Length (m)</v>
      </c>
      <c r="C26" s="61" t="s">
        <v>130</v>
      </c>
      <c r="D26" s="55" t="s">
        <v>592</v>
      </c>
    </row>
    <row r="27" spans="1:4" x14ac:dyDescent="0.2">
      <c r="A27" s="61" t="s">
        <v>128</v>
      </c>
      <c r="B27" s="56" t="str">
        <f>IF(MENU!$F$1=Language!C$4,C27,IF(MENU!$F$1=Language!D$4,D27,IF(MENU!$F$1=Language!E$4,E27,IF(MENU!$F$1=Language!F$4,F27,D27))))</f>
        <v>PN.</v>
      </c>
      <c r="C27" s="61" t="s">
        <v>128</v>
      </c>
      <c r="D27" s="55" t="s">
        <v>148</v>
      </c>
    </row>
    <row r="28" spans="1:4" ht="24" x14ac:dyDescent="0.3">
      <c r="A28" s="52" t="s">
        <v>166</v>
      </c>
      <c r="B28" s="56" t="str">
        <f>IF(MENU!$F$1=Language!C$4,C28,IF(MENU!$F$1=Language!D$4,D28,IF(MENU!$F$1=Language!E$4,E28,IF(MENU!$F$1=Language!F$4,F28,D28))))</f>
        <v>Other ropes</v>
      </c>
      <c r="C28" s="52" t="s">
        <v>166</v>
      </c>
      <c r="D28" s="52" t="s">
        <v>220</v>
      </c>
    </row>
    <row r="29" spans="1:4" x14ac:dyDescent="0.2">
      <c r="A29" s="64" t="s">
        <v>165</v>
      </c>
      <c r="B29" s="56" t="str">
        <f>IF(MENU!$F$1=Language!C$4,C29,IF(MENU!$F$1=Language!D$4,D29,IF(MENU!$F$1=Language!E$4,E29,IF(MENU!$F$1=Language!F$4,F29,D29))))</f>
        <v>Function</v>
      </c>
      <c r="C29" s="64" t="s">
        <v>165</v>
      </c>
      <c r="D29" s="64" t="s">
        <v>173</v>
      </c>
    </row>
    <row r="30" spans="1:4" x14ac:dyDescent="0.2">
      <c r="A30" s="55" t="s">
        <v>52</v>
      </c>
      <c r="B30" s="56" t="str">
        <f>IF(MENU!$F$1=Language!C$4,C30,IF(MENU!$F$1=Language!D$4,D30,IF(MENU!$F$1=Language!E$4,E30,IF(MENU!$F$1=Language!F$4,F30,D30))))</f>
        <v>TELESCOPING</v>
      </c>
      <c r="C30" s="55" t="s">
        <v>52</v>
      </c>
      <c r="D30" s="57" t="s">
        <v>175</v>
      </c>
    </row>
    <row r="31" spans="1:4" x14ac:dyDescent="0.2">
      <c r="A31" s="55" t="s">
        <v>167</v>
      </c>
      <c r="B31" s="56" t="str">
        <f>IF(MENU!$F$1=Language!C$4,C31,IF(MENU!$F$1=Language!D$4,D31,IF(MENU!$F$1=Language!E$4,E31,IF(MENU!$F$1=Language!F$4,F31,D31))))</f>
        <v>RETAINING</v>
      </c>
      <c r="C31" s="55" t="s">
        <v>167</v>
      </c>
      <c r="D31" t="s">
        <v>174</v>
      </c>
    </row>
    <row r="32" spans="1:4" x14ac:dyDescent="0.2">
      <c r="A32" s="55" t="s">
        <v>60</v>
      </c>
      <c r="B32" s="56" t="str">
        <f>IF(MENU!$F$1=Language!C$4,C32,IF(MENU!$F$1=Language!D$4,D32,IF(MENU!$F$1=Language!E$4,E32,IF(MENU!$F$1=Language!F$4,F32,D32))))</f>
        <v>JIB UNFOLDING</v>
      </c>
      <c r="C32" s="55" t="s">
        <v>60</v>
      </c>
      <c r="D32" t="s">
        <v>214</v>
      </c>
    </row>
    <row r="33" spans="1:7" x14ac:dyDescent="0.2">
      <c r="A33" s="55" t="s">
        <v>190</v>
      </c>
      <c r="B33" s="56" t="str">
        <f>IF(MENU!$F$1=Language!C$4,C33,IF(MENU!$F$1=Language!D$4,D33,IF(MENU!$F$1=Language!E$4,E33,IF(MENU!$F$1=Language!F$4,F33,D33))))</f>
        <v xml:space="preserve">/!\ Any standing height founded for </v>
      </c>
      <c r="C33" t="s">
        <v>192</v>
      </c>
      <c r="D33" t="s">
        <v>191</v>
      </c>
    </row>
    <row r="34" spans="1:7" x14ac:dyDescent="0.2">
      <c r="A34" t="s">
        <v>738</v>
      </c>
      <c r="B34" s="56" t="str">
        <f>IF(MENU!$F$1=Language!C$4,C34,IF(MENU!$F$1=Language!D$4,D34,IF(MENU!$F$1=Language!E$4,E34,IF(MENU!$F$1=Language!F$4,F34,D34))))</f>
        <v xml:space="preserve"> -&gt;  Limit height for prenium rope </v>
      </c>
      <c r="C34" t="s">
        <v>738</v>
      </c>
      <c r="D34" t="s">
        <v>739</v>
      </c>
    </row>
    <row r="35" spans="1:7" x14ac:dyDescent="0.2">
      <c r="A35" t="s">
        <v>193</v>
      </c>
      <c r="B35" s="56" t="str">
        <f>IF(MENU!$F$1=Language!C$4,C35,IF(MENU!$F$1=Language!D$4,D35,IF(MENU!$F$1=Language!E$4,E35,IF(MENU!$F$1=Language!F$4,F35,D35))))</f>
        <v>Contact Manitowoc if above standard</v>
      </c>
      <c r="C35" t="s">
        <v>193</v>
      </c>
      <c r="D35" t="s">
        <v>194</v>
      </c>
    </row>
    <row r="36" spans="1:7" x14ac:dyDescent="0.2">
      <c r="A36" s="61" t="s">
        <v>614</v>
      </c>
      <c r="B36" s="56" t="str">
        <f>IF(MENU!$F$1=Language!C$4,C36,IF(MENU!$F$1=Language!D$4,D36,IF(MENU!$F$1=Language!E$4,E36,IF(MENU!$F$1=Language!F$4,F36,D36))))</f>
        <v>Limit HUH (m) for Premium ropes</v>
      </c>
      <c r="C36" s="61" t="s">
        <v>615</v>
      </c>
      <c r="D36" t="s">
        <v>616</v>
      </c>
    </row>
    <row r="37" spans="1:7" x14ac:dyDescent="0.2">
      <c r="A37" s="68" t="s">
        <v>136</v>
      </c>
      <c r="B37" s="56" t="str">
        <f>IF(MENU!$F$1=Language!C$4,C37,IF(MENU!$F$1=Language!D$4,D37,IF(MENU!$F$1=Language!E$4,E37,IF(MENU!$F$1=Language!F$4,F37,D37))))</f>
        <v>* Calculation doesn't take into account max hoist drum capacity and use.</v>
      </c>
      <c r="C37" s="68" t="s">
        <v>369</v>
      </c>
      <c r="D37" t="s">
        <v>370</v>
      </c>
    </row>
    <row r="38" spans="1:7" x14ac:dyDescent="0.2">
      <c r="A38" t="s">
        <v>221</v>
      </c>
      <c r="B38" s="56" t="str">
        <f>IF(MENU!$F$1=Language!C$4,C38,IF(MENU!$F$1=Language!D$4,D38,IF(MENU!$F$1=Language!E$4,E38,IF(MENU!$F$1=Language!F$4,F38,D38))))</f>
        <v>+ 1 THIMBLE</v>
      </c>
      <c r="C38" s="119" t="s">
        <v>221</v>
      </c>
      <c r="D38" s="119" t="s">
        <v>223</v>
      </c>
    </row>
    <row r="39" spans="1:7" x14ac:dyDescent="0.2">
      <c r="A39" t="s">
        <v>222</v>
      </c>
      <c r="B39" s="56" t="str">
        <f>IF(MENU!$F$1=Language!C$4,C39,IF(MENU!$F$1=Language!D$4,D39,IF(MENU!$F$1=Language!E$4,E39,IF(MENU!$F$1=Language!F$4,F39,D39))))</f>
        <v>WITHOUT THIMBLE</v>
      </c>
      <c r="C39" t="s">
        <v>222</v>
      </c>
      <c r="D39" t="s">
        <v>224</v>
      </c>
    </row>
    <row r="40" spans="1:7" x14ac:dyDescent="0.2">
      <c r="A40" t="s">
        <v>231</v>
      </c>
      <c r="B40" s="56" t="str">
        <f>IF(MENU!$F$1=Language!C$4,C40,IF(MENU!$F$1=Language!D$4,D40,IF(MENU!$F$1=Language!E$4,E40,IF(MENU!$F$1=Language!F$4,F40,D40))))</f>
        <v>HOIST ROPE (SPECIAL)</v>
      </c>
      <c r="C40" t="s">
        <v>232</v>
      </c>
      <c r="D40" t="s">
        <v>233</v>
      </c>
    </row>
    <row r="41" spans="1:7" ht="304" x14ac:dyDescent="0.2">
      <c r="A41" t="s">
        <v>241</v>
      </c>
      <c r="B41" s="56" t="str">
        <f>IF(MENU!$F$1=Language!C$4,C41,IF(MENU!$F$1=Language!D$4,D41,IF(MENU!$F$1=Language!E$4,E41,IF(MENU!$F$1=Language!F$4,F41,D41))))</f>
        <v>About trolley rope, since April 2019, our range of cranes is delivered with 9 strands “HIGH PERFORMER” ropes. 
This is a stronger construction, which significantly increases their service life.
GME range : 
For whole GME range, you can use the 6 strands “standard or premium” ropes.
GMA range : 
In case of the cranes are systematically equipped with 9-strand HIGH PERFORMER ropes, it is forbidden to use a 6-strand "Standard or Premium" ropes. 
Please check your crane manual, if you have a question please contact your spare parts representative to : europetower.parts@manitowoc.com</v>
      </c>
      <c r="C41" s="136" t="s">
        <v>242</v>
      </c>
      <c r="D41" s="136" t="s">
        <v>249</v>
      </c>
    </row>
    <row r="42" spans="1:7" ht="16" x14ac:dyDescent="0.2">
      <c r="A42" s="138" t="s">
        <v>244</v>
      </c>
      <c r="B42" s="56" t="str">
        <f>IF(MENU!$F$1=Language!C$4,C42,IF(MENU!$F$1=Language!D$4,D42,IF(MENU!$F$1=Language!E$4,E42,IF(MENU!$F$1=Language!F$4,F42,D42))))</f>
        <v>GPX3 order</v>
      </c>
      <c r="C42" s="138" t="s">
        <v>244</v>
      </c>
      <c r="D42" s="138" t="s">
        <v>246</v>
      </c>
    </row>
    <row r="43" spans="1:7" ht="26" x14ac:dyDescent="0.3">
      <c r="A43" s="69" t="s">
        <v>243</v>
      </c>
      <c r="B43" s="56" t="str">
        <f>IF(MENU!$F$1=Language!C$4,C43,IF(MENU!$F$1=Language!D$4,D43,IF(MENU!$F$1=Language!E$4,E43,IF(MENU!$F$1=Language!F$4,F43,D43))))</f>
        <v xml:space="preserve">Wire rope service guide </v>
      </c>
      <c r="C43" s="69" t="s">
        <v>280</v>
      </c>
      <c r="D43" t="s">
        <v>247</v>
      </c>
    </row>
    <row r="44" spans="1:7" ht="15" customHeight="1" x14ac:dyDescent="0.2">
      <c r="A44" s="139" t="s">
        <v>245</v>
      </c>
      <c r="B44" s="56" t="str">
        <f>IF(MENU!$F$1=Language!C$4,C44,IF(MENU!$F$1=Language!D$4,D44,IF(MENU!$F$1=Language!E$4,E44,IF(MENU!$F$1=Language!F$4,F44,D44))))</f>
        <v>In case of order many wires rope on GPX3, you have to order : 
     - For 1 rope : xx meters + PN = 1 control line.
     - For 2 ropes: 2 X  xx mètres + PN = 2 control lines.
     - etc…</v>
      </c>
      <c r="C44" s="139" t="s">
        <v>245</v>
      </c>
      <c r="D44" s="139" t="s">
        <v>248</v>
      </c>
      <c r="E44" s="140"/>
      <c r="F44" s="140"/>
      <c r="G44" s="140"/>
    </row>
    <row r="45" spans="1:7" ht="16" x14ac:dyDescent="0.2">
      <c r="A45" s="143" t="s">
        <v>251</v>
      </c>
      <c r="B45" s="56" t="str">
        <f>IF(MENU!$F$1=Language!C$4,C45,IF(MENU!$F$1=Language!D$4,D45,IF(MENU!$F$1=Language!E$4,E45,IF(MENU!$F$1=Language!F$4,F45,D45))))</f>
        <v>Number of cranes in this database :</v>
      </c>
      <c r="C45" s="143" t="s">
        <v>251</v>
      </c>
      <c r="D45" s="143" t="s">
        <v>252</v>
      </c>
      <c r="E45" s="140"/>
      <c r="F45" s="140"/>
      <c r="G45" s="140"/>
    </row>
    <row r="46" spans="1:7" x14ac:dyDescent="0.2">
      <c r="A46" t="s">
        <v>254</v>
      </c>
      <c r="B46" s="56" t="str">
        <f>IF(MENU!$F$1=Language!C$4,C46,IF(MENU!$F$1=Language!D$4,D46,IF(MENU!$F$1=Language!E$4,E46,IF(MENU!$F$1=Language!F$4,F46,D46))))</f>
        <v>Tools</v>
      </c>
      <c r="C46" s="140" t="s">
        <v>254</v>
      </c>
      <c r="D46" s="140" t="s">
        <v>255</v>
      </c>
      <c r="E46" s="140"/>
      <c r="F46" s="140"/>
      <c r="G46" s="140"/>
    </row>
    <row r="47" spans="1:7" x14ac:dyDescent="0.2">
      <c r="A47" t="s">
        <v>256</v>
      </c>
      <c r="B47" s="56" t="str">
        <f>IF(MENU!$F$1=Language!C$4,C47,IF(MENU!$F$1=Language!D$4,D47,IF(MENU!$F$1=Language!E$4,E47,IF(MENU!$F$1=Language!F$4,F47,D47))))</f>
        <v>CABLE PULLING GRIP DOUBLE</v>
      </c>
      <c r="C47" t="s">
        <v>256</v>
      </c>
      <c r="D47" s="140" t="s">
        <v>267</v>
      </c>
      <c r="E47" s="140"/>
      <c r="F47" s="140"/>
      <c r="G47" s="140"/>
    </row>
    <row r="48" spans="1:7" x14ac:dyDescent="0.2">
      <c r="A48" t="s">
        <v>265</v>
      </c>
      <c r="B48" s="56" t="str">
        <f>IF(MENU!$F$1=Language!C$4,C48,IF(MENU!$F$1=Language!D$4,D48,IF(MENU!$F$1=Language!E$4,E48,IF(MENU!$F$1=Language!F$4,F48,D48))))</f>
        <v>Set of graduate gauges to checking hoist pulley</v>
      </c>
      <c r="C48" t="s">
        <v>268</v>
      </c>
      <c r="D48" s="140" t="s">
        <v>269</v>
      </c>
      <c r="E48" s="140"/>
      <c r="F48" s="140"/>
      <c r="G48" s="140"/>
    </row>
    <row r="49" spans="1:7" x14ac:dyDescent="0.2">
      <c r="A49" t="s">
        <v>577</v>
      </c>
      <c r="B49" s="56" t="str">
        <f>IF(MENU!$F$1=Language!C$4,C49,IF(MENU!$F$1=Language!D$4,D49,IF(MENU!$F$1=Language!E$4,E49,IF(MENU!$F$1=Language!F$4,F49,D49))))</f>
        <v xml:space="preserve"> +5% all diameters from 8 to 26mm</v>
      </c>
      <c r="C49" s="140" t="s">
        <v>577</v>
      </c>
      <c r="D49" s="140" t="s">
        <v>578</v>
      </c>
      <c r="E49" s="140"/>
      <c r="F49" s="140"/>
      <c r="G49" s="140"/>
    </row>
    <row r="50" spans="1:7" ht="15" customHeight="1" x14ac:dyDescent="0.2">
      <c r="A50" s="136" t="s">
        <v>284</v>
      </c>
      <c r="B50" s="56" t="str">
        <f>IF(MENU!$F$1=Language!C$4,C50,IF(MENU!$F$1=Language!D$4,D50,IF(MENU!$F$1=Language!E$4,E50,IF(MENU!$F$1=Language!F$4,F50,D50))))</f>
        <v>LC oil for wire rope
Use during maintenance time or to lubricate after cleanning</v>
      </c>
      <c r="C50" s="136" t="s">
        <v>284</v>
      </c>
      <c r="D50" s="139" t="s">
        <v>398</v>
      </c>
    </row>
    <row r="51" spans="1:7" x14ac:dyDescent="0.2">
      <c r="A51" t="s">
        <v>282</v>
      </c>
      <c r="B51" s="56" t="str">
        <f>IF(MENU!$F$1=Language!C$4,C51,IF(MENU!$F$1=Language!D$4,D51,IF(MENU!$F$1=Language!E$4,E51,IF(MENU!$F$1=Language!F$4,F51,D51))))</f>
        <v>Good lubrication improves lifespan of wire ropes</v>
      </c>
      <c r="C51" t="s">
        <v>282</v>
      </c>
      <c r="D51" s="140" t="s">
        <v>397</v>
      </c>
    </row>
    <row r="52" spans="1:7" x14ac:dyDescent="0.2">
      <c r="A52" t="s">
        <v>368</v>
      </c>
      <c r="B52" s="56" t="str">
        <f>IF(MENU!$F$1=Language!C$4,C52,IF(MENU!$F$1=Language!D$4,D52,IF(MENU!$F$1=Language!E$4,E52,IF(MENU!$F$1=Language!F$4,F52,D52))))</f>
        <v>Specific rope  -&gt; Refer to crane manual</v>
      </c>
      <c r="C52" t="s">
        <v>380</v>
      </c>
      <c r="D52" s="140" t="s">
        <v>396</v>
      </c>
    </row>
    <row r="53" spans="1:7" x14ac:dyDescent="0.2">
      <c r="A53" t="s">
        <v>389</v>
      </c>
      <c r="B53" s="56" t="str">
        <f>IF(MENU!$F$1=Language!C$4,C53,IF(MENU!$F$1=Language!D$4,D53,IF(MENU!$F$1=Language!E$4,E53,IF(MENU!$F$1=Language!F$4,F53,D53))))</f>
        <v>Warning</v>
      </c>
      <c r="C53" t="s">
        <v>389</v>
      </c>
      <c r="D53" s="140" t="s">
        <v>390</v>
      </c>
    </row>
    <row r="54" spans="1:7" ht="64" x14ac:dyDescent="0.2">
      <c r="A54" s="12" t="s">
        <v>391</v>
      </c>
      <c r="B54" s="56" t="str">
        <f>IF(MENU!$F$1=Language!C$4,C54,IF(MENU!$F$1=Language!D$4,D54,IF(MENU!$F$1=Language!E$4,E54,IF(MENU!$F$1=Language!F$4,F54,D54))))</f>
        <v>IF JIB LENGH 30 - 35 - 40 - 45m 
-&gt; MAX HEIGHT WITH STANDARD ROPE  : 60M
IF JIB LENGH 50 - 55 - 60m 
-&gt; MAX HEIGHT WITH STANDARD ROPE : 45M</v>
      </c>
      <c r="C54" s="12" t="s">
        <v>391</v>
      </c>
      <c r="D54" s="12" t="s">
        <v>393</v>
      </c>
    </row>
    <row r="55" spans="1:7" x14ac:dyDescent="0.2">
      <c r="A55" s="1" t="s">
        <v>392</v>
      </c>
      <c r="B55" s="56" t="str">
        <f>IF(MENU!$F$1=Language!C$4,C55,IF(MENU!$F$1=Language!D$4,D55,IF(MENU!$F$1=Language!E$4,E55,IF(MENU!$F$1=Language!F$4,F55,D55))))</f>
        <v>CRANE 1Fall / 2Falls, NOT 4Falls</v>
      </c>
      <c r="C55" s="1" t="s">
        <v>394</v>
      </c>
      <c r="D55" s="1" t="s">
        <v>395</v>
      </c>
    </row>
    <row r="56" spans="1:7" x14ac:dyDescent="0.2">
      <c r="A56" t="s">
        <v>519</v>
      </c>
      <c r="B56" s="56" t="str">
        <f>IF(MENU!$F$1=Language!C$4,C56,IF(MENU!$F$1=Language!D$4,D56,IF(MENU!$F$1=Language!E$4,E56,IF(MENU!$F$1=Language!F$4,F56,D56))))</f>
        <v xml:space="preserve">Weight for </v>
      </c>
      <c r="C56" t="s">
        <v>520</v>
      </c>
      <c r="D56" s="140" t="s">
        <v>521</v>
      </c>
    </row>
    <row r="57" spans="1:7" x14ac:dyDescent="0.2">
      <c r="A57" s="258" t="s">
        <v>544</v>
      </c>
      <c r="B57" s="56" t="str">
        <f>IF(MENU!$F$1=Language!C$4,C57,IF(MENU!$F$1=Language!D$4,D57,IF(MENU!$F$1=Language!E$4,E57,IF(MENU!$F$1=Language!F$4,F57,D57))))</f>
        <v>Reel dimensions (DM)</v>
      </c>
      <c r="C57" s="258" t="s">
        <v>594</v>
      </c>
      <c r="D57" s="140" t="s">
        <v>595</v>
      </c>
    </row>
    <row r="58" spans="1:7" x14ac:dyDescent="0.2">
      <c r="A58" s="258" t="s">
        <v>544</v>
      </c>
      <c r="B58" s="56" t="str">
        <f>IF(MENU!$F$1=Language!C$4,C58,IF(MENU!$F$1=Language!D$4,D58,IF(MENU!$F$1=Language!E$4,E58,IF(MENU!$F$1=Language!F$4,F58,D58))))</f>
        <v>Reel dimensions (SM)</v>
      </c>
      <c r="C58" s="258" t="s">
        <v>597</v>
      </c>
      <c r="D58" s="140" t="s">
        <v>596</v>
      </c>
    </row>
    <row r="59" spans="1:7" x14ac:dyDescent="0.2">
      <c r="A59" t="s">
        <v>546</v>
      </c>
      <c r="B59" s="56" t="str">
        <f>IF(MENU!$F$1=Language!C$4,C59,IF(MENU!$F$1=Language!D$4,D59,IF(MENU!$F$1=Language!E$4,E59,IF(MENU!$F$1=Language!F$4,F59,D59))))</f>
        <v>For dimensions, please contact Manitowoc</v>
      </c>
      <c r="C59" t="s">
        <v>548</v>
      </c>
      <c r="D59" s="140" t="s">
        <v>547</v>
      </c>
    </row>
    <row r="60" spans="1:7" x14ac:dyDescent="0.2">
      <c r="A60" t="s">
        <v>580</v>
      </c>
      <c r="B60" s="56" t="str">
        <f>IF(MENU!$F$1=Language!C$4,C60,IF(MENU!$F$1=Language!D$4,D60,IF(MENU!$F$1=Language!E$4,E60,IF(MENU!$F$1=Language!F$4,F60,D60))))</f>
        <v>HAF</v>
      </c>
      <c r="C60" t="s">
        <v>580</v>
      </c>
      <c r="D60" s="140" t="s">
        <v>582</v>
      </c>
    </row>
    <row r="61" spans="1:7" x14ac:dyDescent="0.2">
      <c r="A61" t="s">
        <v>581</v>
      </c>
      <c r="B61" s="56" t="str">
        <f>IF(MENU!$F$1=Language!C$4,C61,IF(MENU!$F$1=Language!D$4,D61,IF(MENU!$F$1=Language!E$4,E61,IF(MENU!$F$1=Language!F$4,F61,D61))))</f>
        <v>(Jib articulate pin height)</v>
      </c>
      <c r="C61" t="s">
        <v>588</v>
      </c>
      <c r="D61" s="140" t="s">
        <v>587</v>
      </c>
    </row>
    <row r="62" spans="1:7" ht="37" x14ac:dyDescent="0.2">
      <c r="A62" s="288" t="s">
        <v>590</v>
      </c>
      <c r="B62" s="56" t="str">
        <f>IF(MENU!$F$1=Language!C$4,C62,IF(MENU!$F$1=Language!D$4,D62,IF(MENU!$F$1=Language!E$4,E62,IF(MENU!$F$1=Language!F$4,F62,D62))))</f>
        <v>Spare Parts</v>
      </c>
      <c r="C62" s="288" t="s">
        <v>590</v>
      </c>
      <c r="D62" s="140" t="s">
        <v>591</v>
      </c>
    </row>
    <row r="63" spans="1:7" x14ac:dyDescent="0.2">
      <c r="A63" s="258" t="s">
        <v>544</v>
      </c>
      <c r="B63" s="56" t="str">
        <f>IF(MENU!$F$1=Language!C$4,C63,IF(MENU!$F$1=Language!D$4,D63,IF(MENU!$F$1=Language!E$4,E63,IF(MENU!$F$1=Language!F$4,F63,D63))))</f>
        <v>Reel dimensions</v>
      </c>
      <c r="C63" s="258" t="s">
        <v>607</v>
      </c>
      <c r="D63" s="140" t="s">
        <v>606</v>
      </c>
    </row>
    <row r="64" spans="1:7" x14ac:dyDescent="0.2">
      <c r="A64" t="s">
        <v>612</v>
      </c>
      <c r="B64" s="56" t="str">
        <f>IF(MENU!$F$1=Language!C$4,C64,IF(MENU!$F$1=Language!D$4,D64,IF(MENU!$F$1=Language!E$4,E64,IF(MENU!$F$1=Language!F$4,F64,D64))))</f>
        <v>Consult the bulletin on GPX3</v>
      </c>
      <c r="C64" t="s">
        <v>612</v>
      </c>
      <c r="D64" s="140" t="s">
        <v>613</v>
      </c>
    </row>
    <row r="65" spans="1:4" x14ac:dyDescent="0.2">
      <c r="A65" t="s">
        <v>618</v>
      </c>
      <c r="B65" s="56" t="str">
        <f>IF(MENU!$F$1=Language!C$4,C65,IF(MENU!$F$1=Language!D$4,D65,IF(MENU!$F$1=Language!E$4,E65,IF(MENU!$F$1=Language!F$4,F65,D65))))</f>
        <v xml:space="preserve">HOIST ROPE (24xK7 ONLY) </v>
      </c>
      <c r="C65" t="s">
        <v>618</v>
      </c>
      <c r="D65" s="140" t="s">
        <v>619</v>
      </c>
    </row>
    <row r="66" spans="1:4" x14ac:dyDescent="0.2">
      <c r="A66" t="s">
        <v>742</v>
      </c>
      <c r="B66" s="56" t="str">
        <f>IF(MENU!$F$1=Language!C$4,C66,IF(MENU!$F$1=Language!D$4,D66,IF(MENU!$F$1=Language!E$4,E66,IF(MENU!$F$1=Language!F$4,F66,D66))))</f>
        <v>How to access the wire rope service guide</v>
      </c>
      <c r="C66" t="s">
        <v>742</v>
      </c>
      <c r="D66" s="140" t="s">
        <v>743</v>
      </c>
    </row>
    <row r="67" spans="1:4" x14ac:dyDescent="0.2">
      <c r="B67" s="56">
        <f>IF(MENU!$F$1=Language!C$4,C67,IF(MENU!$F$1=Language!D$4,D67,IF(MENU!$F$1=Language!E$4,E67,IF(MENU!$F$1=Language!F$4,F67,D67))))</f>
        <v>0</v>
      </c>
    </row>
    <row r="68" spans="1:4" x14ac:dyDescent="0.2">
      <c r="B68" s="56">
        <f>IF(MENU!$F$1=Language!C$4,C68,IF(MENU!$F$1=Language!D$4,D68,IF(MENU!$F$1=Language!E$4,E68,IF(MENU!$F$1=Language!F$4,F68,D68))))</f>
        <v>0</v>
      </c>
    </row>
    <row r="69" spans="1:4" x14ac:dyDescent="0.2">
      <c r="B69" s="56">
        <f>IF(MENU!$F$1=Language!C$4,C69,IF(MENU!$F$1=Language!D$4,D69,IF(MENU!$F$1=Language!E$4,E69,IF(MENU!$F$1=Language!F$4,F69,D69))))</f>
        <v>0</v>
      </c>
    </row>
    <row r="70" spans="1:4" x14ac:dyDescent="0.2">
      <c r="B70" s="56">
        <f>IF(MENU!$F$1=Language!C$4,C70,IF(MENU!$F$1=Language!D$4,D70,IF(MENU!$F$1=Language!E$4,E70,IF(MENU!$F$1=Language!F$4,F70,D70))))</f>
        <v>0</v>
      </c>
    </row>
    <row r="71" spans="1:4" x14ac:dyDescent="0.2">
      <c r="B71" s="56">
        <f>IF(MENU!$F$1=Language!C$4,C71,IF(MENU!$F$1=Language!D$4,D71,IF(MENU!$F$1=Language!E$4,E71,IF(MENU!$F$1=Language!F$4,F71,D71))))</f>
        <v>0</v>
      </c>
    </row>
    <row r="72" spans="1:4" x14ac:dyDescent="0.2">
      <c r="B72" s="56">
        <f>IF(MENU!$F$1=Language!C$4,C72,IF(MENU!$F$1=Language!D$4,D72,IF(MENU!$F$1=Language!E$4,E72,IF(MENU!$F$1=Language!F$4,F72,D72))))</f>
        <v>0</v>
      </c>
    </row>
    <row r="73" spans="1:4" x14ac:dyDescent="0.2">
      <c r="B73" s="56">
        <f>IF(MENU!$F$1=Language!C$4,C73,IF(MENU!$F$1=Language!D$4,D73,IF(MENU!$F$1=Language!E$4,E73,IF(MENU!$F$1=Language!F$4,F73,D73))))</f>
        <v>0</v>
      </c>
    </row>
    <row r="74" spans="1:4" x14ac:dyDescent="0.2">
      <c r="B74" s="56">
        <f>IF(MENU!$F$1=Language!C$4,C74,IF(MENU!$F$1=Language!D$4,D74,IF(MENU!$F$1=Language!E$4,E74,IF(MENU!$F$1=Language!F$4,F74,D74))))</f>
        <v>0</v>
      </c>
    </row>
    <row r="75" spans="1:4" x14ac:dyDescent="0.2">
      <c r="B75" s="56">
        <f>IF(MENU!$F$1=Language!C$4,C75,IF(MENU!$F$1=Language!D$4,D75,IF(MENU!$F$1=Language!E$4,E75,IF(MENU!$F$1=Language!F$4,F75,D75))))</f>
        <v>0</v>
      </c>
    </row>
    <row r="76" spans="1:4" x14ac:dyDescent="0.2">
      <c r="B76" s="56">
        <f>IF(MENU!$F$1=Language!C$4,C76,IF(MENU!$F$1=Language!D$4,D76,IF(MENU!$F$1=Language!E$4,E76,IF(MENU!$F$1=Language!F$4,F76,D76))))</f>
        <v>0</v>
      </c>
    </row>
    <row r="77" spans="1:4" x14ac:dyDescent="0.2">
      <c r="B77" s="56">
        <f>IF(MENU!$F$1=Language!C$4,C77,IF(MENU!$F$1=Language!D$4,D77,IF(MENU!$F$1=Language!E$4,E77,IF(MENU!$F$1=Language!F$4,F77,D77))))</f>
        <v>0</v>
      </c>
    </row>
    <row r="78" spans="1:4" x14ac:dyDescent="0.2">
      <c r="B78" s="56">
        <f>IF(MENU!$F$1=Language!C$4,C78,IF(MENU!$F$1=Language!D$4,D78,IF(MENU!$F$1=Language!E$4,E78,IF(MENU!$F$1=Language!F$4,F78,D78))))</f>
        <v>0</v>
      </c>
    </row>
    <row r="79" spans="1:4" x14ac:dyDescent="0.2">
      <c r="B79" s="56">
        <f>IF(MENU!$F$1=Language!C$4,C79,IF(MENU!$F$1=Language!D$4,D79,IF(MENU!$F$1=Language!E$4,E79,IF(MENU!$F$1=Language!F$4,F79,D79))))</f>
        <v>0</v>
      </c>
    </row>
    <row r="80" spans="1:4" x14ac:dyDescent="0.2">
      <c r="B80" s="56">
        <f>IF(MENU!$F$1=Language!C$4,C80,IF(MENU!$F$1=Language!D$4,D80,IF(MENU!$F$1=Language!E$4,E80,IF(MENU!$F$1=Language!F$4,F80,D80))))</f>
        <v>0</v>
      </c>
    </row>
    <row r="81" spans="2:2" x14ac:dyDescent="0.2">
      <c r="B81" s="56">
        <f>IF(MENU!$F$1=Language!C$4,C81,IF(MENU!$F$1=Language!D$4,D81,IF(MENU!$F$1=Language!E$4,E81,IF(MENU!$F$1=Language!F$4,F81,D81))))</f>
        <v>0</v>
      </c>
    </row>
    <row r="82" spans="2:2" x14ac:dyDescent="0.2">
      <c r="B82" s="56">
        <f>IF(MENU!$F$1=Language!C$4,C82,IF(MENU!$F$1=Language!D$4,D82,IF(MENU!$F$1=Language!E$4,E82,IF(MENU!$F$1=Language!F$4,F82,D82))))</f>
        <v>0</v>
      </c>
    </row>
    <row r="83" spans="2:2" x14ac:dyDescent="0.2">
      <c r="B83" s="56">
        <f>IF(MENU!$F$1=Language!C$4,C83,IF(MENU!$F$1=Language!D$4,D83,IF(MENU!$F$1=Language!E$4,E83,IF(MENU!$F$1=Language!F$4,F83,D83))))</f>
        <v>0</v>
      </c>
    </row>
    <row r="84" spans="2:2" x14ac:dyDescent="0.2">
      <c r="B84" s="56">
        <f>IF(MENU!$F$1=Language!C$4,C84,IF(MENU!$F$1=Language!D$4,D84,IF(MENU!$F$1=Language!E$4,E84,IF(MENU!$F$1=Language!F$4,F84,D84))))</f>
        <v>0</v>
      </c>
    </row>
    <row r="85" spans="2:2" x14ac:dyDescent="0.2">
      <c r="B85" s="56">
        <f>IF(MENU!$F$1=Language!C$4,C85,IF(MENU!$F$1=Language!D$4,D85,IF(MENU!$F$1=Language!E$4,E85,IF(MENU!$F$1=Language!F$4,F85,D85))))</f>
        <v>0</v>
      </c>
    </row>
    <row r="86" spans="2:2" x14ac:dyDescent="0.2">
      <c r="B86" s="56">
        <f>IF(MENU!$F$1=Language!C$4,C86,IF(MENU!$F$1=Language!D$4,D86,IF(MENU!$F$1=Language!E$4,E86,IF(MENU!$F$1=Language!F$4,F86,D86))))</f>
        <v>0</v>
      </c>
    </row>
    <row r="87" spans="2:2" x14ac:dyDescent="0.2">
      <c r="B87" s="56">
        <f>IF(MENU!$F$1=Language!C$4,C87,IF(MENU!$F$1=Language!D$4,D87,IF(MENU!$F$1=Language!E$4,E87,IF(MENU!$F$1=Language!F$4,F87,D87))))</f>
        <v>0</v>
      </c>
    </row>
    <row r="88" spans="2:2" x14ac:dyDescent="0.2">
      <c r="B88" s="56">
        <f>IF(MENU!$F$1=Language!C$4,C88,IF(MENU!$F$1=Language!D$4,D88,IF(MENU!$F$1=Language!E$4,E88,IF(MENU!$F$1=Language!F$4,F88,D88))))</f>
        <v>0</v>
      </c>
    </row>
    <row r="89" spans="2:2" x14ac:dyDescent="0.2">
      <c r="B89" s="56">
        <f>IF(MENU!$F$1=Language!C$4,C89,IF(MENU!$F$1=Language!D$4,D89,IF(MENU!$F$1=Language!E$4,E89,IF(MENU!$F$1=Language!F$4,F89,D89))))</f>
        <v>0</v>
      </c>
    </row>
    <row r="90" spans="2:2" x14ac:dyDescent="0.2">
      <c r="B90" s="56">
        <f>IF(MENU!$F$1=Language!C$4,C90,IF(MENU!$F$1=Language!D$4,D90,IF(MENU!$F$1=Language!E$4,E90,IF(MENU!$F$1=Language!F$4,F90,D90))))</f>
        <v>0</v>
      </c>
    </row>
    <row r="91" spans="2:2" x14ac:dyDescent="0.2">
      <c r="B91" s="56">
        <f>IF(MENU!$F$1=Language!C$4,C91,IF(MENU!$F$1=Language!D$4,D91,IF(MENU!$F$1=Language!E$4,E91,IF(MENU!$F$1=Language!F$4,F91,D91))))</f>
        <v>0</v>
      </c>
    </row>
    <row r="92" spans="2:2" x14ac:dyDescent="0.2">
      <c r="B92" s="56">
        <f>IF(MENU!$F$1=Language!C$4,C92,IF(MENU!$F$1=Language!D$4,D92,IF(MENU!$F$1=Language!E$4,E92,IF(MENU!$F$1=Language!F$4,F92,D92))))</f>
        <v>0</v>
      </c>
    </row>
    <row r="93" spans="2:2" x14ac:dyDescent="0.2">
      <c r="B93" s="56">
        <f>IF(MENU!$F$1=Language!C$4,C93,IF(MENU!$F$1=Language!D$4,D93,IF(MENU!$F$1=Language!E$4,E93,IF(MENU!$F$1=Language!F$4,F93,D93))))</f>
        <v>0</v>
      </c>
    </row>
    <row r="94" spans="2:2" x14ac:dyDescent="0.2">
      <c r="B94" s="56">
        <f>IF(MENU!$F$1=Language!C$4,C94,IF(MENU!$F$1=Language!D$4,D94,IF(MENU!$F$1=Language!E$4,E94,IF(MENU!$F$1=Language!F$4,F94,D94))))</f>
        <v>0</v>
      </c>
    </row>
    <row r="95" spans="2:2" x14ac:dyDescent="0.2">
      <c r="B95" s="56">
        <f>IF(MENU!$F$1=Language!C$4,C95,IF(MENU!$F$1=Language!D$4,D95,IF(MENU!$F$1=Language!E$4,E95,IF(MENU!$F$1=Language!F$4,F95,D95))))</f>
        <v>0</v>
      </c>
    </row>
    <row r="96" spans="2:2" x14ac:dyDescent="0.2">
      <c r="B96" s="56">
        <f>IF(MENU!$F$1=Language!C$4,C96,IF(MENU!$F$1=Language!D$4,D96,IF(MENU!$F$1=Language!E$4,E96,IF(MENU!$F$1=Language!F$4,F96,D96))))</f>
        <v>0</v>
      </c>
    </row>
    <row r="97" spans="2:2" x14ac:dyDescent="0.2">
      <c r="B97" s="56">
        <f>IF(MENU!$F$1=Language!C$4,C97,IF(MENU!$F$1=Language!D$4,D97,IF(MENU!$F$1=Language!E$4,E97,IF(MENU!$F$1=Language!F$4,F97,D97))))</f>
        <v>0</v>
      </c>
    </row>
    <row r="98" spans="2:2" x14ac:dyDescent="0.2">
      <c r="B98" s="56">
        <f>IF(MENU!$F$1=Language!C$4,C98,IF(MENU!$F$1=Language!D$4,D98,IF(MENU!$F$1=Language!E$4,E98,IF(MENU!$F$1=Language!F$4,F98,D98))))</f>
        <v>0</v>
      </c>
    </row>
    <row r="99" spans="2:2" x14ac:dyDescent="0.2">
      <c r="B99" s="56">
        <f>IF(MENU!$F$1=Language!C$4,C99,IF(MENU!$F$1=Language!D$4,D99,IF(MENU!$F$1=Language!E$4,E99,IF(MENU!$F$1=Language!F$4,F99,D99))))</f>
        <v>0</v>
      </c>
    </row>
    <row r="100" spans="2:2" x14ac:dyDescent="0.2">
      <c r="B100" s="56">
        <f>IF(MENU!$F$1=Language!C$4,C100,IF(MENU!$F$1=Language!D$4,D100,IF(MENU!$F$1=Language!E$4,E100,IF(MENU!$F$1=Language!F$4,F100,D100))))</f>
        <v>0</v>
      </c>
    </row>
    <row r="101" spans="2:2" x14ac:dyDescent="0.2">
      <c r="B101" s="56">
        <f>IF(MENU!$F$1=Language!C$4,C101,IF(MENU!$F$1=Language!D$4,D101,IF(MENU!$F$1=Language!E$4,E101,IF(MENU!$F$1=Language!F$4,F101,D101))))</f>
        <v>0</v>
      </c>
    </row>
    <row r="102" spans="2:2" x14ac:dyDescent="0.2">
      <c r="B102" s="56">
        <f>IF(MENU!$F$1=Language!C$4,C102,IF(MENU!$F$1=Language!D$4,D102,IF(MENU!$F$1=Language!E$4,E102,IF(MENU!$F$1=Language!F$4,F102,D102))))</f>
        <v>0</v>
      </c>
    </row>
    <row r="103" spans="2:2" x14ac:dyDescent="0.2">
      <c r="B103" s="56">
        <f>IF(MENU!$F$1=Language!C$4,C103,IF(MENU!$F$1=Language!D$4,D103,IF(MENU!$F$1=Language!E$4,E103,IF(MENU!$F$1=Language!F$4,F103,D103))))</f>
        <v>0</v>
      </c>
    </row>
    <row r="104" spans="2:2" x14ac:dyDescent="0.2">
      <c r="B104" s="56">
        <f>IF(MENU!$F$1=Language!C$4,C104,IF(MENU!$F$1=Language!D$4,D104,IF(MENU!$F$1=Language!E$4,E104,IF(MENU!$F$1=Language!F$4,F104,D104))))</f>
        <v>0</v>
      </c>
    </row>
    <row r="105" spans="2:2" x14ac:dyDescent="0.2">
      <c r="B105" s="56">
        <f>IF(MENU!$F$1=Language!C$4,C105,IF(MENU!$F$1=Language!D$4,D105,IF(MENU!$F$1=Language!E$4,E105,IF(MENU!$F$1=Language!F$4,F105,D105))))</f>
        <v>0</v>
      </c>
    </row>
    <row r="106" spans="2:2" x14ac:dyDescent="0.2">
      <c r="B106" s="56">
        <f>IF(MENU!$F$1=Language!C$4,C106,IF(MENU!$F$1=Language!D$4,D106,IF(MENU!$F$1=Language!E$4,E106,IF(MENU!$F$1=Language!F$4,F106,D106))))</f>
        <v>0</v>
      </c>
    </row>
    <row r="107" spans="2:2" x14ac:dyDescent="0.2">
      <c r="B107" s="56">
        <f>IF(MENU!$F$1=Language!C$4,C107,IF(MENU!$F$1=Language!D$4,D107,IF(MENU!$F$1=Language!E$4,E107,IF(MENU!$F$1=Language!F$4,F107,D107))))</f>
        <v>0</v>
      </c>
    </row>
    <row r="108" spans="2:2" x14ac:dyDescent="0.2">
      <c r="B108" s="56">
        <f>IF(MENU!$F$1=Language!C$4,C108,IF(MENU!$F$1=Language!D$4,D108,IF(MENU!$F$1=Language!E$4,E108,IF(MENU!$F$1=Language!F$4,F108,D108))))</f>
        <v>0</v>
      </c>
    </row>
    <row r="109" spans="2:2" x14ac:dyDescent="0.2">
      <c r="B109" s="56">
        <f>IF(MENU!$F$1=Language!C$4,C109,IF(MENU!$F$1=Language!D$4,D109,IF(MENU!$F$1=Language!E$4,E109,IF(MENU!$F$1=Language!F$4,F109,D109))))</f>
        <v>0</v>
      </c>
    </row>
    <row r="110" spans="2:2" x14ac:dyDescent="0.2">
      <c r="B110" s="56">
        <f>IF(MENU!$F$1=Language!C$4,C110,IF(MENU!$F$1=Language!D$4,D110,IF(MENU!$F$1=Language!E$4,E110,IF(MENU!$F$1=Language!F$4,F110,D110))))</f>
        <v>0</v>
      </c>
    </row>
    <row r="111" spans="2:2" x14ac:dyDescent="0.2">
      <c r="B111" s="56">
        <f>IF(MENU!$F$1=Language!C$4,C111,IF(MENU!$F$1=Language!D$4,D111,IF(MENU!$F$1=Language!E$4,E111,IF(MENU!$F$1=Language!F$4,F111,D111))))</f>
        <v>0</v>
      </c>
    </row>
    <row r="112" spans="2:2" x14ac:dyDescent="0.2">
      <c r="B112" s="56">
        <f>IF(MENU!$F$1=Language!C$4,C112,IF(MENU!$F$1=Language!D$4,D112,IF(MENU!$F$1=Language!E$4,E112,IF(MENU!$F$1=Language!F$4,F112,D112))))</f>
        <v>0</v>
      </c>
    </row>
    <row r="113" spans="2:2" x14ac:dyDescent="0.2">
      <c r="B113" s="56">
        <f>IF(MENU!$F$1=Language!C$4,C113,IF(MENU!$F$1=Language!D$4,D113,IF(MENU!$F$1=Language!E$4,E113,IF(MENU!$F$1=Language!F$4,F113,D113))))</f>
        <v>0</v>
      </c>
    </row>
    <row r="114" spans="2:2" x14ac:dyDescent="0.2">
      <c r="B114" s="56">
        <f>IF(MENU!$F$1=Language!C$4,C114,IF(MENU!$F$1=Language!D$4,D114,IF(MENU!$F$1=Language!E$4,E114,IF(MENU!$F$1=Language!F$4,F114,D114))))</f>
        <v>0</v>
      </c>
    </row>
    <row r="115" spans="2:2" x14ac:dyDescent="0.2">
      <c r="B115" s="56">
        <f>IF(MENU!$F$1=Language!C$4,C115,IF(MENU!$F$1=Language!D$4,D115,IF(MENU!$F$1=Language!E$4,E115,IF(MENU!$F$1=Language!F$4,F115,D115))))</f>
        <v>0</v>
      </c>
    </row>
    <row r="116" spans="2:2" x14ac:dyDescent="0.2">
      <c r="B116" s="56">
        <f>IF(MENU!$F$1=Language!C$4,C116,IF(MENU!$F$1=Language!D$4,D116,IF(MENU!$F$1=Language!E$4,E116,IF(MENU!$F$1=Language!F$4,F116,D116))))</f>
        <v>0</v>
      </c>
    </row>
    <row r="117" spans="2:2" x14ac:dyDescent="0.2">
      <c r="B117" s="56">
        <f>IF(MENU!$F$1=Language!C$4,C117,IF(MENU!$F$1=Language!D$4,D117,IF(MENU!$F$1=Language!E$4,E117,IF(MENU!$F$1=Language!F$4,F117,D117))))</f>
        <v>0</v>
      </c>
    </row>
    <row r="118" spans="2:2" x14ac:dyDescent="0.2">
      <c r="B118" s="56">
        <f>IF(MENU!$F$1=Language!C$4,C118,IF(MENU!$F$1=Language!D$4,D118,IF(MENU!$F$1=Language!E$4,E118,IF(MENU!$F$1=Language!F$4,F118,D118))))</f>
        <v>0</v>
      </c>
    </row>
    <row r="119" spans="2:2" x14ac:dyDescent="0.2">
      <c r="B119" s="56">
        <f>IF(MENU!$F$1=Language!C$4,C119,IF(MENU!$F$1=Language!D$4,D119,IF(MENU!$F$1=Language!E$4,E119,IF(MENU!$F$1=Language!F$4,F119,D119))))</f>
        <v>0</v>
      </c>
    </row>
    <row r="120" spans="2:2" x14ac:dyDescent="0.2">
      <c r="B120" s="56">
        <f>IF(MENU!$F$1=Language!C$4,C120,IF(MENU!$F$1=Language!D$4,D120,IF(MENU!$F$1=Language!E$4,E120,IF(MENU!$F$1=Language!F$4,F120,D120))))</f>
        <v>0</v>
      </c>
    </row>
    <row r="121" spans="2:2" x14ac:dyDescent="0.2">
      <c r="B121" s="56">
        <f>IF(MENU!$F$1=Language!C$4,C121,IF(MENU!$F$1=Language!D$4,D121,IF(MENU!$F$1=Language!E$4,E121,IF(MENU!$F$1=Language!F$4,F121,D121))))</f>
        <v>0</v>
      </c>
    </row>
    <row r="122" spans="2:2" x14ac:dyDescent="0.2">
      <c r="B122" s="56">
        <f>IF(MENU!$F$1=Language!C$4,C122,IF(MENU!$F$1=Language!D$4,D122,IF(MENU!$F$1=Language!E$4,E122,IF(MENU!$F$1=Language!F$4,F122,D122))))</f>
        <v>0</v>
      </c>
    </row>
    <row r="123" spans="2:2" x14ac:dyDescent="0.2">
      <c r="B123" s="56">
        <f>IF(MENU!$F$1=Language!C$4,C123,IF(MENU!$F$1=Language!D$4,D123,IF(MENU!$F$1=Language!E$4,E123,IF(MENU!$F$1=Language!F$4,F123,D123))))</f>
        <v>0</v>
      </c>
    </row>
    <row r="124" spans="2:2" x14ac:dyDescent="0.2">
      <c r="B124" s="56">
        <f>IF(MENU!$F$1=Language!C$4,C124,IF(MENU!$F$1=Language!D$4,D124,IF(MENU!$F$1=Language!E$4,E124,IF(MENU!$F$1=Language!F$4,F124,D124))))</f>
        <v>0</v>
      </c>
    </row>
    <row r="125" spans="2:2" x14ac:dyDescent="0.2">
      <c r="B125" s="56">
        <f>IF(MENU!$F$1=Language!C$4,C125,IF(MENU!$F$1=Language!D$4,D125,IF(MENU!$F$1=Language!E$4,E125,IF(MENU!$F$1=Language!F$4,F125,D125))))</f>
        <v>0</v>
      </c>
    </row>
    <row r="126" spans="2:2" x14ac:dyDescent="0.2">
      <c r="B126" s="56">
        <f>IF(MENU!$F$1=Language!C$4,C126,IF(MENU!$F$1=Language!D$4,D126,IF(MENU!$F$1=Language!E$4,E126,IF(MENU!$F$1=Language!F$4,F126,D126))))</f>
        <v>0</v>
      </c>
    </row>
    <row r="127" spans="2:2" x14ac:dyDescent="0.2">
      <c r="B127" s="56">
        <f>IF(MENU!$F$1=Language!C$4,C127,IF(MENU!$F$1=Language!D$4,D127,IF(MENU!$F$1=Language!E$4,E127,IF(MENU!$F$1=Language!F$4,F127,D127))))</f>
        <v>0</v>
      </c>
    </row>
    <row r="128" spans="2:2" x14ac:dyDescent="0.2">
      <c r="B128" s="56">
        <f>IF(MENU!$F$1=Language!C$4,C128,IF(MENU!$F$1=Language!D$4,D128,IF(MENU!$F$1=Language!E$4,E128,IF(MENU!$F$1=Language!F$4,F128,D128))))</f>
        <v>0</v>
      </c>
    </row>
    <row r="129" spans="2:2" x14ac:dyDescent="0.2">
      <c r="B129" s="56">
        <f>IF(MENU!$F$1=Language!C$4,C129,IF(MENU!$F$1=Language!D$4,D129,IF(MENU!$F$1=Language!E$4,E129,IF(MENU!$F$1=Language!F$4,F129,D129))))</f>
        <v>0</v>
      </c>
    </row>
    <row r="130" spans="2:2" x14ac:dyDescent="0.2">
      <c r="B130" s="56">
        <f>IF(MENU!$F$1=Language!C$4,C130,IF(MENU!$F$1=Language!D$4,D130,IF(MENU!$F$1=Language!E$4,E130,IF(MENU!$F$1=Language!F$4,F130,D130))))</f>
        <v>0</v>
      </c>
    </row>
    <row r="131" spans="2:2" x14ac:dyDescent="0.2">
      <c r="B131" s="56">
        <f>IF(MENU!$F$1=Language!C$4,C131,IF(MENU!$F$1=Language!D$4,D131,IF(MENU!$F$1=Language!E$4,E131,IF(MENU!$F$1=Language!F$4,F131,D131))))</f>
        <v>0</v>
      </c>
    </row>
    <row r="132" spans="2:2" x14ac:dyDescent="0.2">
      <c r="B132" s="56">
        <f>IF(MENU!$F$1=Language!C$4,C132,IF(MENU!$F$1=Language!D$4,D132,IF(MENU!$F$1=Language!E$4,E132,IF(MENU!$F$1=Language!F$4,F132,D132))))</f>
        <v>0</v>
      </c>
    </row>
    <row r="133" spans="2:2" x14ac:dyDescent="0.2">
      <c r="B133" s="56">
        <f>IF(MENU!$F$1=Language!C$4,C133,IF(MENU!$F$1=Language!D$4,D133,IF(MENU!$F$1=Language!E$4,E133,IF(MENU!$F$1=Language!F$4,F133,D133))))</f>
        <v>0</v>
      </c>
    </row>
    <row r="134" spans="2:2" x14ac:dyDescent="0.2">
      <c r="B134" s="56">
        <f>IF(MENU!$F$1=Language!C$4,C134,IF(MENU!$F$1=Language!D$4,D134,IF(MENU!$F$1=Language!E$4,E134,IF(MENU!$F$1=Language!F$4,F134,D134))))</f>
        <v>0</v>
      </c>
    </row>
    <row r="135" spans="2:2" x14ac:dyDescent="0.2">
      <c r="B135" s="56">
        <f>IF(MENU!$F$1=Language!C$4,C135,IF(MENU!$F$1=Language!D$4,D135,IF(MENU!$F$1=Language!E$4,E135,IF(MENU!$F$1=Language!F$4,F135,D135))))</f>
        <v>0</v>
      </c>
    </row>
    <row r="136" spans="2:2" x14ac:dyDescent="0.2">
      <c r="B136" s="56">
        <f>IF(MENU!$F$1=Language!C$4,C136,IF(MENU!$F$1=Language!D$4,D136,IF(MENU!$F$1=Language!E$4,E136,IF(MENU!$F$1=Language!F$4,F136,D136))))</f>
        <v>0</v>
      </c>
    </row>
    <row r="137" spans="2:2" x14ac:dyDescent="0.2">
      <c r="B137" s="56">
        <f>IF(MENU!$F$1=Language!C$4,C137,IF(MENU!$F$1=Language!D$4,D137,IF(MENU!$F$1=Language!E$4,E137,IF(MENU!$F$1=Language!F$4,F137,D137))))</f>
        <v>0</v>
      </c>
    </row>
    <row r="138" spans="2:2" x14ac:dyDescent="0.2">
      <c r="B138" s="56">
        <f>IF(MENU!$F$1=Language!C$4,C138,IF(MENU!$F$1=Language!D$4,D138,IF(MENU!$F$1=Language!E$4,E138,IF(MENU!$F$1=Language!F$4,F138,D138))))</f>
        <v>0</v>
      </c>
    </row>
    <row r="139" spans="2:2" x14ac:dyDescent="0.2">
      <c r="B139" s="56">
        <f>IF(MENU!$F$1=Language!C$4,C139,IF(MENU!$F$1=Language!D$4,D139,IF(MENU!$F$1=Language!E$4,E139,IF(MENU!$F$1=Language!F$4,F139,D139))))</f>
        <v>0</v>
      </c>
    </row>
    <row r="140" spans="2:2" x14ac:dyDescent="0.2">
      <c r="B140" s="56">
        <f>IF(MENU!$F$1=Language!C$4,C140,IF(MENU!$F$1=Language!D$4,D140,IF(MENU!$F$1=Language!E$4,E140,IF(MENU!$F$1=Language!F$4,F140,D140))))</f>
        <v>0</v>
      </c>
    </row>
    <row r="141" spans="2:2" x14ac:dyDescent="0.2">
      <c r="B141" s="56">
        <f>IF(MENU!$F$1=Language!C$4,C141,IF(MENU!$F$1=Language!D$4,D141,IF(MENU!$F$1=Language!E$4,E141,IF(MENU!$F$1=Language!F$4,F141,D141))))</f>
        <v>0</v>
      </c>
    </row>
    <row r="142" spans="2:2" x14ac:dyDescent="0.2">
      <c r="B142" s="56">
        <f>IF(MENU!$F$1=Language!C$4,C142,IF(MENU!$F$1=Language!D$4,D142,IF(MENU!$F$1=Language!E$4,E142,IF(MENU!$F$1=Language!F$4,F142,D142))))</f>
        <v>0</v>
      </c>
    </row>
    <row r="143" spans="2:2" x14ac:dyDescent="0.2">
      <c r="B143" s="56">
        <f>IF(MENU!$F$1=Language!C$4,C143,IF(MENU!$F$1=Language!D$4,D143,IF(MENU!$F$1=Language!E$4,E143,IF(MENU!$F$1=Language!F$4,F143,D143))))</f>
        <v>0</v>
      </c>
    </row>
    <row r="144" spans="2:2" x14ac:dyDescent="0.2">
      <c r="B144" s="56">
        <f>IF(MENU!$F$1=Language!C$4,C144,IF(MENU!$F$1=Language!D$4,D144,IF(MENU!$F$1=Language!E$4,E144,IF(MENU!$F$1=Language!F$4,F144,D144))))</f>
        <v>0</v>
      </c>
    </row>
    <row r="145" spans="2:2" x14ac:dyDescent="0.2">
      <c r="B145" s="56">
        <f>IF(MENU!$F$1=Language!C$4,C145,IF(MENU!$F$1=Language!D$4,D145,IF(MENU!$F$1=Language!E$4,E145,IF(MENU!$F$1=Language!F$4,F145,D145))))</f>
        <v>0</v>
      </c>
    </row>
    <row r="146" spans="2:2" x14ac:dyDescent="0.2">
      <c r="B146" s="56">
        <f>IF(MENU!$F$1=Language!C$4,C146,IF(MENU!$F$1=Language!D$4,D146,IF(MENU!$F$1=Language!E$4,E146,IF(MENU!$F$1=Language!F$4,F146,D146))))</f>
        <v>0</v>
      </c>
    </row>
    <row r="147" spans="2:2" x14ac:dyDescent="0.2">
      <c r="B147" s="56">
        <f>IF(MENU!$F$1=Language!C$4,C147,IF(MENU!$F$1=Language!D$4,D147,IF(MENU!$F$1=Language!E$4,E147,IF(MENU!$F$1=Language!F$4,F147,D147))))</f>
        <v>0</v>
      </c>
    </row>
    <row r="148" spans="2:2" x14ac:dyDescent="0.2">
      <c r="B148" s="56">
        <f>IF(MENU!$F$1=Language!C$4,C148,IF(MENU!$F$1=Language!D$4,D148,IF(MENU!$F$1=Language!E$4,E148,IF(MENU!$F$1=Language!F$4,F148,D148))))</f>
        <v>0</v>
      </c>
    </row>
    <row r="149" spans="2:2" x14ac:dyDescent="0.2">
      <c r="B149" s="56">
        <f>IF(MENU!$F$1=Language!C$4,C149,IF(MENU!$F$1=Language!D$4,D149,IF(MENU!$F$1=Language!E$4,E149,IF(MENU!$F$1=Language!F$4,F149,D149))))</f>
        <v>0</v>
      </c>
    </row>
    <row r="150" spans="2:2" x14ac:dyDescent="0.2">
      <c r="B150" s="56">
        <f>IF(MENU!$F$1=Language!C$4,C150,IF(MENU!$F$1=Language!D$4,D150,IF(MENU!$F$1=Language!E$4,E150,IF(MENU!$F$1=Language!F$4,F150,D150))))</f>
        <v>0</v>
      </c>
    </row>
    <row r="151" spans="2:2" x14ac:dyDescent="0.2">
      <c r="B151" s="56">
        <f>IF(MENU!$F$1=Language!C$4,C151,IF(MENU!$F$1=Language!D$4,D151,IF(MENU!$F$1=Language!E$4,E151,IF(MENU!$F$1=Language!F$4,F151,D151))))</f>
        <v>0</v>
      </c>
    </row>
    <row r="152" spans="2:2" x14ac:dyDescent="0.2">
      <c r="B152" s="56">
        <f>IF(MENU!$F$1=Language!C$4,C152,IF(MENU!$F$1=Language!D$4,D152,IF(MENU!$F$1=Language!E$4,E152,IF(MENU!$F$1=Language!F$4,F152,D152))))</f>
        <v>0</v>
      </c>
    </row>
    <row r="153" spans="2:2" x14ac:dyDescent="0.2">
      <c r="B153" s="56">
        <f>IF(MENU!$F$1=Language!C$4,C153,IF(MENU!$F$1=Language!D$4,D153,IF(MENU!$F$1=Language!E$4,E153,IF(MENU!$F$1=Language!F$4,F153,D153))))</f>
        <v>0</v>
      </c>
    </row>
    <row r="154" spans="2:2" x14ac:dyDescent="0.2">
      <c r="B154" s="56">
        <f>IF(MENU!$F$1=Language!C$4,C154,IF(MENU!$F$1=Language!D$4,D154,IF(MENU!$F$1=Language!E$4,E154,IF(MENU!$F$1=Language!F$4,F154,D154))))</f>
        <v>0</v>
      </c>
    </row>
    <row r="155" spans="2:2" x14ac:dyDescent="0.2">
      <c r="B155" s="56">
        <f>IF(MENU!$F$1=Language!C$4,C155,IF(MENU!$F$1=Language!D$4,D155,IF(MENU!$F$1=Language!E$4,E155,IF(MENU!$F$1=Language!F$4,F155,D155))))</f>
        <v>0</v>
      </c>
    </row>
    <row r="156" spans="2:2" x14ac:dyDescent="0.2">
      <c r="B156" s="56">
        <f>IF(MENU!$F$1=Language!C$4,C156,IF(MENU!$F$1=Language!D$4,D156,IF(MENU!$F$1=Language!E$4,E156,IF(MENU!$F$1=Language!F$4,F156,D156))))</f>
        <v>0</v>
      </c>
    </row>
    <row r="157" spans="2:2" x14ac:dyDescent="0.2">
      <c r="B157" s="56">
        <f>IF(MENU!$F$1=Language!C$4,C157,IF(MENU!$F$1=Language!D$4,D157,IF(MENU!$F$1=Language!E$4,E157,IF(MENU!$F$1=Language!F$4,F157,D157))))</f>
        <v>0</v>
      </c>
    </row>
    <row r="158" spans="2:2" x14ac:dyDescent="0.2">
      <c r="B158" s="56">
        <f>IF(MENU!$F$1=Language!C$4,C158,IF(MENU!$F$1=Language!D$4,D158,IF(MENU!$F$1=Language!E$4,E158,IF(MENU!$F$1=Language!F$4,F158,D158))))</f>
        <v>0</v>
      </c>
    </row>
    <row r="159" spans="2:2" x14ac:dyDescent="0.2">
      <c r="B159" s="56">
        <f>IF(MENU!$F$1=Language!C$4,C159,IF(MENU!$F$1=Language!D$4,D159,IF(MENU!$F$1=Language!E$4,E159,IF(MENU!$F$1=Language!F$4,F159,D159))))</f>
        <v>0</v>
      </c>
    </row>
    <row r="160" spans="2:2" x14ac:dyDescent="0.2">
      <c r="B160" s="56">
        <f>IF(MENU!$F$1=Language!C$4,C160,IF(MENU!$F$1=Language!D$4,D160,IF(MENU!$F$1=Language!E$4,E160,IF(MENU!$F$1=Language!F$4,F160,D160))))</f>
        <v>0</v>
      </c>
    </row>
    <row r="161" spans="2:2" x14ac:dyDescent="0.2">
      <c r="B161" s="56">
        <f>IF(MENU!$F$1=Language!C$4,C161,IF(MENU!$F$1=Language!D$4,D161,IF(MENU!$F$1=Language!E$4,E161,IF(MENU!$F$1=Language!F$4,F161,D161))))</f>
        <v>0</v>
      </c>
    </row>
    <row r="162" spans="2:2" x14ac:dyDescent="0.2">
      <c r="B162" s="56">
        <f>IF(MENU!$F$1=Language!C$4,C162,IF(MENU!$F$1=Language!D$4,D162,IF(MENU!$F$1=Language!E$4,E162,IF(MENU!$F$1=Language!F$4,F162,D162))))</f>
        <v>0</v>
      </c>
    </row>
    <row r="163" spans="2:2" x14ac:dyDescent="0.2">
      <c r="B163" s="56">
        <f>IF(MENU!$F$1=Language!C$4,C163,IF(MENU!$F$1=Language!D$4,D163,IF(MENU!$F$1=Language!E$4,E163,IF(MENU!$F$1=Language!F$4,F163,D163))))</f>
        <v>0</v>
      </c>
    </row>
    <row r="164" spans="2:2" x14ac:dyDescent="0.2">
      <c r="B164" s="56">
        <f>IF(MENU!$F$1=Language!C$4,C164,IF(MENU!$F$1=Language!D$4,D164,IF(MENU!$F$1=Language!E$4,E164,IF(MENU!$F$1=Language!F$4,F164,D164))))</f>
        <v>0</v>
      </c>
    </row>
    <row r="165" spans="2:2" x14ac:dyDescent="0.2">
      <c r="B165" s="56">
        <f>IF(MENU!$F$1=Language!C$4,C165,IF(MENU!$F$1=Language!D$4,D165,IF(MENU!$F$1=Language!E$4,E165,IF(MENU!$F$1=Language!F$4,F165,D165))))</f>
        <v>0</v>
      </c>
    </row>
    <row r="166" spans="2:2" x14ac:dyDescent="0.2">
      <c r="B166" s="56">
        <f>IF(MENU!$F$1=Language!C$4,C166,IF(MENU!$F$1=Language!D$4,D166,IF(MENU!$F$1=Language!E$4,E166,IF(MENU!$F$1=Language!F$4,F166,D166))))</f>
        <v>0</v>
      </c>
    </row>
    <row r="167" spans="2:2" x14ac:dyDescent="0.2">
      <c r="B167" s="56">
        <f>IF(MENU!$F$1=Language!C$4,C167,IF(MENU!$F$1=Language!D$4,D167,IF(MENU!$F$1=Language!E$4,E167,IF(MENU!$F$1=Language!F$4,F167,D167))))</f>
        <v>0</v>
      </c>
    </row>
    <row r="168" spans="2:2" x14ac:dyDescent="0.2">
      <c r="B168" s="56">
        <f>IF(MENU!$F$1=Language!C$4,C168,IF(MENU!$F$1=Language!D$4,D168,IF(MENU!$F$1=Language!E$4,E168,IF(MENU!$F$1=Language!F$4,F168,D168))))</f>
        <v>0</v>
      </c>
    </row>
    <row r="169" spans="2:2" x14ac:dyDescent="0.2">
      <c r="B169" s="56">
        <f>IF(MENU!$F$1=Language!C$4,C169,IF(MENU!$F$1=Language!D$4,D169,IF(MENU!$F$1=Language!E$4,E169,IF(MENU!$F$1=Language!F$4,F169,D169))))</f>
        <v>0</v>
      </c>
    </row>
    <row r="170" spans="2:2" x14ac:dyDescent="0.2">
      <c r="B170" s="56">
        <f>IF(MENU!$F$1=Language!C$4,C170,IF(MENU!$F$1=Language!D$4,D170,IF(MENU!$F$1=Language!E$4,E170,IF(MENU!$F$1=Language!F$4,F170,D170))))</f>
        <v>0</v>
      </c>
    </row>
    <row r="171" spans="2:2" x14ac:dyDescent="0.2">
      <c r="B171" s="56">
        <f>IF(MENU!$F$1=Language!C$4,C171,IF(MENU!$F$1=Language!D$4,D171,IF(MENU!$F$1=Language!E$4,E171,IF(MENU!$F$1=Language!F$4,F171,D171))))</f>
        <v>0</v>
      </c>
    </row>
    <row r="172" spans="2:2" x14ac:dyDescent="0.2">
      <c r="B172" s="56">
        <f>IF(MENU!$F$1=Language!C$4,C172,IF(MENU!$F$1=Language!D$4,D172,IF(MENU!$F$1=Language!E$4,E172,IF(MENU!$F$1=Language!F$4,F172,D172))))</f>
        <v>0</v>
      </c>
    </row>
    <row r="173" spans="2:2" x14ac:dyDescent="0.2">
      <c r="B173" s="56">
        <f>IF(MENU!$F$1=Language!C$4,C173,IF(MENU!$F$1=Language!D$4,D173,IF(MENU!$F$1=Language!E$4,E173,IF(MENU!$F$1=Language!F$4,F173,D173))))</f>
        <v>0</v>
      </c>
    </row>
    <row r="174" spans="2:2" x14ac:dyDescent="0.2">
      <c r="B174" s="56">
        <f>IF(MENU!$F$1=Language!C$4,C174,IF(MENU!$F$1=Language!D$4,D174,IF(MENU!$F$1=Language!E$4,E174,IF(MENU!$F$1=Language!F$4,F174,D174))))</f>
        <v>0</v>
      </c>
    </row>
    <row r="175" spans="2:2" x14ac:dyDescent="0.2">
      <c r="B175" s="56">
        <f>IF(MENU!$F$1=Language!C$4,C175,IF(MENU!$F$1=Language!D$4,D175,IF(MENU!$F$1=Language!E$4,E175,IF(MENU!$F$1=Language!F$4,F175,D175))))</f>
        <v>0</v>
      </c>
    </row>
    <row r="176" spans="2:2" x14ac:dyDescent="0.2">
      <c r="B176" s="56">
        <f>IF(MENU!$F$1=Language!C$4,C176,IF(MENU!$F$1=Language!D$4,D176,IF(MENU!$F$1=Language!E$4,E176,IF(MENU!$F$1=Language!F$4,F176,D176))))</f>
        <v>0</v>
      </c>
    </row>
    <row r="177" spans="2:2" x14ac:dyDescent="0.2">
      <c r="B177" s="56">
        <f>IF(MENU!$F$1=Language!C$4,C177,IF(MENU!$F$1=Language!D$4,D177,IF(MENU!$F$1=Language!E$4,E177,IF(MENU!$F$1=Language!F$4,F177,D177))))</f>
        <v>0</v>
      </c>
    </row>
    <row r="178" spans="2:2" x14ac:dyDescent="0.2">
      <c r="B178" s="56">
        <f>IF(MENU!$F$1=Language!C$4,C178,IF(MENU!$F$1=Language!D$4,D178,IF(MENU!$F$1=Language!E$4,E178,IF(MENU!$F$1=Language!F$4,F178,D178))))</f>
        <v>0</v>
      </c>
    </row>
    <row r="179" spans="2:2" x14ac:dyDescent="0.2">
      <c r="B179" s="56">
        <f>IF(MENU!$F$1=Language!C$4,C179,IF(MENU!$F$1=Language!D$4,D179,IF(MENU!$F$1=Language!E$4,E179,IF(MENU!$F$1=Language!F$4,F179,D179))))</f>
        <v>0</v>
      </c>
    </row>
    <row r="180" spans="2:2" x14ac:dyDescent="0.2">
      <c r="B180" s="56">
        <f>IF(MENU!$F$1=Language!C$4,C180,IF(MENU!$F$1=Language!D$4,D180,IF(MENU!$F$1=Language!E$4,E180,IF(MENU!$F$1=Language!F$4,F180,D180))))</f>
        <v>0</v>
      </c>
    </row>
    <row r="181" spans="2:2" x14ac:dyDescent="0.2">
      <c r="B181" s="56">
        <f>IF(MENU!$F$1=Language!C$4,C181,IF(MENU!$F$1=Language!D$4,D181,IF(MENU!$F$1=Language!E$4,E181,IF(MENU!$F$1=Language!F$4,F181,D181))))</f>
        <v>0</v>
      </c>
    </row>
    <row r="182" spans="2:2" x14ac:dyDescent="0.2">
      <c r="B182" s="56">
        <f>IF(MENU!$F$1=Language!C$4,C182,IF(MENU!$F$1=Language!D$4,D182,IF(MENU!$F$1=Language!E$4,E182,IF(MENU!$F$1=Language!F$4,F182,D182))))</f>
        <v>0</v>
      </c>
    </row>
    <row r="183" spans="2:2" x14ac:dyDescent="0.2">
      <c r="B183" s="56">
        <f>IF(MENU!$F$1=Language!C$4,C183,IF(MENU!$F$1=Language!D$4,D183,IF(MENU!$F$1=Language!E$4,E183,IF(MENU!$F$1=Language!F$4,F183,D183))))</f>
        <v>0</v>
      </c>
    </row>
    <row r="184" spans="2:2" x14ac:dyDescent="0.2">
      <c r="B184" s="56">
        <f>IF(MENU!$F$1=Language!C$4,C184,IF(MENU!$F$1=Language!D$4,D184,IF(MENU!$F$1=Language!E$4,E184,IF(MENU!$F$1=Language!F$4,F184,D184))))</f>
        <v>0</v>
      </c>
    </row>
    <row r="185" spans="2:2" x14ac:dyDescent="0.2">
      <c r="B185" s="56">
        <f>IF(MENU!$F$1=Language!C$4,C185,IF(MENU!$F$1=Language!D$4,D185,IF(MENU!$F$1=Language!E$4,E185,IF(MENU!$F$1=Language!F$4,F185,D185))))</f>
        <v>0</v>
      </c>
    </row>
    <row r="186" spans="2:2" x14ac:dyDescent="0.2">
      <c r="B186" s="56">
        <f>IF(MENU!$F$1=Language!C$4,C186,IF(MENU!$F$1=Language!D$4,D186,IF(MENU!$F$1=Language!E$4,E186,IF(MENU!$F$1=Language!F$4,F186,D186))))</f>
        <v>0</v>
      </c>
    </row>
    <row r="187" spans="2:2" x14ac:dyDescent="0.2">
      <c r="B187" s="56">
        <f>IF(MENU!$F$1=Language!C$4,C187,IF(MENU!$F$1=Language!D$4,D187,IF(MENU!$F$1=Language!E$4,E187,IF(MENU!$F$1=Language!F$4,F187,D187))))</f>
        <v>0</v>
      </c>
    </row>
    <row r="188" spans="2:2" x14ac:dyDescent="0.2">
      <c r="B188" s="56">
        <f>IF(MENU!$F$1=Language!C$4,C188,IF(MENU!$F$1=Language!D$4,D188,IF(MENU!$F$1=Language!E$4,E188,IF(MENU!$F$1=Language!F$4,F188,D188))))</f>
        <v>0</v>
      </c>
    </row>
    <row r="189" spans="2:2" x14ac:dyDescent="0.2">
      <c r="B189" s="56">
        <f>IF(MENU!$F$1=Language!C$4,C189,IF(MENU!$F$1=Language!D$4,D189,IF(MENU!$F$1=Language!E$4,E189,IF(MENU!$F$1=Language!F$4,F189,D189))))</f>
        <v>0</v>
      </c>
    </row>
    <row r="190" spans="2:2" x14ac:dyDescent="0.2">
      <c r="B190" s="56">
        <f>IF(MENU!$F$1=Language!C$4,C190,IF(MENU!$F$1=Language!D$4,D190,IF(MENU!$F$1=Language!E$4,E190,IF(MENU!$F$1=Language!F$4,F190,D190))))</f>
        <v>0</v>
      </c>
    </row>
    <row r="191" spans="2:2" x14ac:dyDescent="0.2">
      <c r="B191" s="56">
        <f>IF(MENU!$F$1=Language!C$4,C191,IF(MENU!$F$1=Language!D$4,D191,IF(MENU!$F$1=Language!E$4,E191,IF(MENU!$F$1=Language!F$4,F191,D191))))</f>
        <v>0</v>
      </c>
    </row>
    <row r="192" spans="2:2" x14ac:dyDescent="0.2">
      <c r="B192" s="56">
        <f>IF(MENU!$F$1=Language!C$4,C192,IF(MENU!$F$1=Language!D$4,D192,IF(MENU!$F$1=Language!E$4,E192,IF(MENU!$F$1=Language!F$4,F192,D192))))</f>
        <v>0</v>
      </c>
    </row>
    <row r="193" spans="2:2" x14ac:dyDescent="0.2">
      <c r="B193" s="56">
        <f>IF(MENU!$F$1=Language!C$4,C193,IF(MENU!$F$1=Language!D$4,D193,IF(MENU!$F$1=Language!E$4,E193,IF(MENU!$F$1=Language!F$4,F193,D193))))</f>
        <v>0</v>
      </c>
    </row>
    <row r="194" spans="2:2" x14ac:dyDescent="0.2">
      <c r="B194" s="56">
        <f>IF(MENU!$F$1=Language!C$4,C194,IF(MENU!$F$1=Language!D$4,D194,IF(MENU!$F$1=Language!E$4,E194,IF(MENU!$F$1=Language!F$4,F194,D194))))</f>
        <v>0</v>
      </c>
    </row>
    <row r="195" spans="2:2" x14ac:dyDescent="0.2">
      <c r="B195" s="56">
        <f>IF(MENU!$F$1=Language!C$4,C195,IF(MENU!$F$1=Language!D$4,D195,IF(MENU!$F$1=Language!E$4,E195,IF(MENU!$F$1=Language!F$4,F195,D195))))</f>
        <v>0</v>
      </c>
    </row>
    <row r="196" spans="2:2" x14ac:dyDescent="0.2">
      <c r="B196" s="56">
        <f>IF(MENU!$F$1=Language!C$4,C196,IF(MENU!$F$1=Language!D$4,D196,IF(MENU!$F$1=Language!E$4,E196,IF(MENU!$F$1=Language!F$4,F196,D196))))</f>
        <v>0</v>
      </c>
    </row>
    <row r="197" spans="2:2" x14ac:dyDescent="0.2">
      <c r="B197" s="56">
        <f>IF(MENU!$F$1=Language!C$4,C197,IF(MENU!$F$1=Language!D$4,D197,IF(MENU!$F$1=Language!E$4,E197,IF(MENU!$F$1=Language!F$4,F197,D197))))</f>
        <v>0</v>
      </c>
    </row>
    <row r="198" spans="2:2" x14ac:dyDescent="0.2">
      <c r="B198" s="56">
        <f>IF(MENU!$F$1=Language!C$4,C198,IF(MENU!$F$1=Language!D$4,D198,IF(MENU!$F$1=Language!E$4,E198,IF(MENU!$F$1=Language!F$4,F198,D198))))</f>
        <v>0</v>
      </c>
    </row>
    <row r="199" spans="2:2" x14ac:dyDescent="0.2">
      <c r="B199" s="56">
        <f>IF(MENU!$F$1=Language!C$4,C199,IF(MENU!$F$1=Language!D$4,D199,IF(MENU!$F$1=Language!E$4,E199,IF(MENU!$F$1=Language!F$4,F199,D199))))</f>
        <v>0</v>
      </c>
    </row>
  </sheetData>
  <conditionalFormatting sqref="A57:A58">
    <cfRule type="expression" dxfId="3" priority="4">
      <formula>IF($B$20&lt;&gt;"/",TRUE,FALSE)</formula>
    </cfRule>
  </conditionalFormatting>
  <conditionalFormatting sqref="A63">
    <cfRule type="expression" dxfId="2" priority="2">
      <formula>IF($B$20&lt;&gt;"/",TRUE,FALSE)</formula>
    </cfRule>
  </conditionalFormatting>
  <conditionalFormatting sqref="C57:C58">
    <cfRule type="expression" dxfId="1" priority="3">
      <formula>IF($B$20&lt;&gt;"/",TRUE,FALSE)</formula>
    </cfRule>
  </conditionalFormatting>
  <conditionalFormatting sqref="C63">
    <cfRule type="expression" dxfId="0" priority="1">
      <formula>IF($B$20&lt;&gt;"/",TRUE,FALSE)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53D6-00AD-4E8D-8085-B09001F829FC}">
  <sheetPr codeName="Feuil3"/>
  <dimension ref="A1:I44"/>
  <sheetViews>
    <sheetView showGridLines="0" showRowColHeaders="0" tabSelected="1" zoomScaleNormal="100" workbookViewId="0">
      <selection activeCell="C7" sqref="C7"/>
    </sheetView>
  </sheetViews>
  <sheetFormatPr baseColWidth="10" defaultRowHeight="15" x14ac:dyDescent="0.2"/>
  <cols>
    <col min="1" max="1" width="28.5" customWidth="1"/>
    <col min="2" max="2" width="23.5" customWidth="1"/>
    <col min="3" max="6" width="22.5" customWidth="1"/>
    <col min="7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8" t="str">
        <f>Language!B62</f>
        <v>Spare Parts</v>
      </c>
      <c r="D1" s="45"/>
      <c r="E1" s="46"/>
      <c r="F1" s="48" t="str">
        <f>MENU!F1</f>
        <v>EN</v>
      </c>
      <c r="G1" s="356" t="s">
        <v>111</v>
      </c>
      <c r="H1" s="356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106" t="s">
        <v>176</v>
      </c>
      <c r="B3" s="52" t="str">
        <f>Language!$B$6</f>
        <v>GME wire ropes</v>
      </c>
      <c r="C3" s="50"/>
      <c r="E3" s="51"/>
      <c r="F3" s="42"/>
      <c r="G3" s="44"/>
      <c r="H3" s="44"/>
    </row>
    <row r="4" spans="1:9" x14ac:dyDescent="0.2">
      <c r="A4" s="106" t="s">
        <v>177</v>
      </c>
      <c r="G4" s="361"/>
      <c r="H4" s="361"/>
    </row>
    <row r="5" spans="1:9" x14ac:dyDescent="0.2">
      <c r="A5" s="210" t="s">
        <v>359</v>
      </c>
      <c r="G5" s="361"/>
      <c r="H5" s="361"/>
    </row>
    <row r="6" spans="1:9" ht="21" customHeight="1" x14ac:dyDescent="0.2">
      <c r="A6" s="54" t="str">
        <f>Language!A9</f>
        <v>Sélection</v>
      </c>
      <c r="B6" s="271" t="str">
        <f>Language!B10</f>
        <v>Crane</v>
      </c>
      <c r="C6" s="272" t="s">
        <v>8</v>
      </c>
      <c r="E6" s="58"/>
      <c r="F6" s="137"/>
      <c r="G6" s="361"/>
      <c r="H6" s="361"/>
    </row>
    <row r="7" spans="1:9" ht="21" customHeight="1" x14ac:dyDescent="0.2">
      <c r="B7" s="271" t="str">
        <f>Language!B11</f>
        <v>HUH (m)</v>
      </c>
      <c r="C7" s="272"/>
      <c r="D7" s="23"/>
      <c r="E7" s="58"/>
      <c r="F7" s="137"/>
      <c r="G7" s="361"/>
      <c r="H7" s="361"/>
    </row>
    <row r="8" spans="1:9" ht="21" customHeight="1" x14ac:dyDescent="0.2">
      <c r="B8" s="271" t="str">
        <f>Language!B12</f>
        <v>Digging depth (m)</v>
      </c>
      <c r="C8" s="272">
        <v>0</v>
      </c>
      <c r="D8" s="23"/>
      <c r="E8" s="58"/>
      <c r="F8" s="137"/>
      <c r="G8" s="361"/>
      <c r="H8" s="361"/>
    </row>
    <row r="9" spans="1:9" ht="21" customHeight="1" x14ac:dyDescent="0.2">
      <c r="B9" s="271" t="str">
        <f>Language!B13</f>
        <v>Jib Length</v>
      </c>
      <c r="C9" s="272">
        <v>65</v>
      </c>
      <c r="D9" s="23"/>
      <c r="E9" s="58"/>
      <c r="F9" s="137"/>
      <c r="G9" s="361"/>
      <c r="H9" s="361"/>
    </row>
    <row r="10" spans="1:9" ht="28" customHeight="1" x14ac:dyDescent="0.2"/>
    <row r="11" spans="1:9" ht="24" x14ac:dyDescent="0.3">
      <c r="B11" s="52" t="str">
        <f>Language!$B$14</f>
        <v>Hoist rope</v>
      </c>
    </row>
    <row r="12" spans="1:9" ht="24" x14ac:dyDescent="0.3">
      <c r="B12" s="23" t="str">
        <f>Language!$B$18</f>
        <v>Diameter (mm)</v>
      </c>
      <c r="C12" s="60">
        <f>IF(C6&lt;&gt;"",VLOOKUP(C6,GME_BASE,3,FALSE),"")</f>
        <v>14</v>
      </c>
      <c r="D12" s="114" t="str">
        <f>IF(C6="","",IF(VLOOKUP($C$6,GME_BASE,5,FALSE)=6,VLOOKUP($C$12,LV,10,FALSE),""))</f>
        <v/>
      </c>
    </row>
    <row r="13" spans="1:9" ht="18" customHeight="1" x14ac:dyDescent="0.2"/>
    <row r="14" spans="1:9" ht="21" customHeight="1" x14ac:dyDescent="0.2">
      <c r="B14" s="61" t="str">
        <f>Language!B19</f>
        <v>Rope reving</v>
      </c>
      <c r="C14" s="62" t="s">
        <v>84</v>
      </c>
      <c r="D14" s="62" t="s">
        <v>85</v>
      </c>
    </row>
    <row r="15" spans="1:9" ht="21" customHeight="1" x14ac:dyDescent="0.2">
      <c r="B15" s="61" t="str">
        <f>Language!B20</f>
        <v>Length (m)*</v>
      </c>
      <c r="C15" s="63" t="str">
        <f>IF(C7&gt;5,(VLOOKUP(C6,GME_BASE,6,FALSE)+(C7+C8)*2),"FILL ↑")</f>
        <v>FILL ↑</v>
      </c>
      <c r="D15" s="63" t="str">
        <f>IF(C7&gt;5,(VLOOKUP(C6,GME_BASE,6,FALSE)+(C7+C8)*4),"FILL ↑")</f>
        <v>FILL ↑</v>
      </c>
    </row>
    <row r="16" spans="1:9" ht="32.25" customHeight="1" x14ac:dyDescent="0.2">
      <c r="B16" s="293" t="str">
        <f>Language!$B$36</f>
        <v>Limit HUH (m) for Premium ropes</v>
      </c>
      <c r="C16" s="359">
        <f>IF(C6&lt;&gt;"",IF(VLOOKUP(C6,GME_BASE,7,FALSE)="PGH",Language!$B$35,IF(VLOOKUP(C6,GME_BASE,7,FALSE)="", _xlfn.CONCAT(Language!$B$33,C6),IF((C7+C8)&gt;(VLOOKUP(C6,GME!A:G,7,FALSE)),_xlfn.CONCAT(VLOOKUP(C6,GME_BASE,7,FALSE),Language!$B$34),VLOOKUP(C6,GME_BASE,7,FALSE)))),"")</f>
        <v>73</v>
      </c>
      <c r="D16" s="360"/>
    </row>
    <row r="17" spans="1:8" ht="30.75" customHeight="1" x14ac:dyDescent="0.2">
      <c r="B17" s="68" t="str">
        <f>Language!B37</f>
        <v>* Calculation doesn't take into account max hoist drum capacity and use.</v>
      </c>
    </row>
    <row r="18" spans="1:8" ht="21" customHeight="1" x14ac:dyDescent="0.2">
      <c r="B18" s="357" t="str">
        <f>Language!$B$21</f>
        <v>Rope type</v>
      </c>
      <c r="C18" s="357"/>
      <c r="D18" s="357"/>
      <c r="E18" s="357"/>
      <c r="F18" s="358"/>
    </row>
    <row r="19" spans="1:8" ht="21" customHeight="1" x14ac:dyDescent="0.2">
      <c r="B19" s="64" t="s">
        <v>132</v>
      </c>
      <c r="C19" s="64" t="s">
        <v>388</v>
      </c>
      <c r="D19" s="64" t="s">
        <v>387</v>
      </c>
      <c r="E19" s="64" t="s">
        <v>139</v>
      </c>
      <c r="F19" s="64" t="s">
        <v>140</v>
      </c>
    </row>
    <row r="20" spans="1:8" ht="21" customHeight="1" x14ac:dyDescent="0.2">
      <c r="B20" s="63" t="str">
        <f>IF(VLOOKUP($C$6,GME_BASE,7,FALSE)&lt;=(C7+C8),"/",IF(VLOOKUP($C$6,GME_BASE,5,FALSE)&lt;=1,VLOOKUP($C$12,LV,2,FALSE),"/"))</f>
        <v>/</v>
      </c>
      <c r="C20" s="63" t="str">
        <f>IF(VLOOKUP(C6,GME_BASE,7,FALSE)&lt;= (C7+C8),"/",IF(VLOOKUP($C$6,GME_BASE,5,FALSE)&lt;=2,VLOOKUP($C$12,LV,3,FALSE),"/"))</f>
        <v>/</v>
      </c>
      <c r="D20" s="63">
        <f>IF(VLOOKUP(C6,GME_BASE,7,FALSE)&lt;= (C7+C8),"/",IF(VLOOKUP($C$6,GME_BASE,5,FALSE)&lt;=3,VLOOKUP($C$12,LV,4,FALSE),"/"))</f>
        <v>84058918</v>
      </c>
      <c r="E20" s="63">
        <f>IF(VLOOKUP($C$6,GME_BASE,5,FALSE)&lt;=4,VLOOKUP($C$12,LV,5,FALSE),"/")</f>
        <v>84058877</v>
      </c>
      <c r="F20" s="63" t="str">
        <f xml:space="preserve"> IF(    VLOOKUP($C$6,GME_BASE,5,FALSE) = 7,       VLOOKUP($C$12,LV,9,FALSE),   IF(VLOOKUP($C$6,GME_BASE,5,FALSE)&lt;=5,VLOOKUP($C$12,LV,6,FALSE),"/"))</f>
        <v>/</v>
      </c>
    </row>
    <row r="21" spans="1:8" ht="100" customHeight="1" x14ac:dyDescent="0.2">
      <c r="B21" s="71"/>
      <c r="C21" s="71"/>
      <c r="D21" s="71"/>
      <c r="E21" s="71"/>
      <c r="F21" s="71"/>
      <c r="H21" s="263"/>
    </row>
    <row r="22" spans="1:8" ht="13.5" customHeight="1" x14ac:dyDescent="0.2">
      <c r="A22" s="258" t="str">
        <f>IF(C7&gt;5, _xlfn.CONCAT(Language!$B$56, C15, "m (SM)"), "")</f>
        <v/>
      </c>
      <c r="B22" s="257" t="str">
        <f>IF(AND($C$7 &gt; 1,B20&lt;&gt;"/"),   _xlfn.CONCAT(ROUND(VLOOKUP(B20,POIDS,3,0) *    $C$15,0), "kg"),"")</f>
        <v/>
      </c>
      <c r="C22" s="257" t="str">
        <f>IF(AND($C$7 &gt; 1,C20&lt;&gt;"/"),   _xlfn.CONCAT(ROUND(VLOOKUP(C20,POIDS,3,0) *    $C$15,0), "kg"),"")</f>
        <v/>
      </c>
      <c r="D22" s="257" t="str">
        <f>IF(AND($C$7 &gt; 1,D20&lt;&gt;"/"),   _xlfn.CONCAT(ROUND(VLOOKUP(D20,POIDS,3,0) *    $C$15,0), "kg"),"")</f>
        <v/>
      </c>
      <c r="E22" s="257" t="str">
        <f>IF(AND($C$7 &gt; 1,E20&lt;&gt;"/"),   _xlfn.CONCAT(ROUND(VLOOKUP(E20,POIDS,3,0) *    $C$15,0), "kg"),"")</f>
        <v/>
      </c>
      <c r="F22" s="257" t="str">
        <f>IF(AND($C$7 &gt; 1,F20&lt;&gt;"/"),   _xlfn.CONCAT(ROUND(VLOOKUP(F20,POIDS,3,0) *    $C$15,0), "kg"),"")</f>
        <v/>
      </c>
      <c r="H22" s="263"/>
    </row>
    <row r="23" spans="1:8" ht="13.5" customHeight="1" x14ac:dyDescent="0.2">
      <c r="A23" s="258" t="str">
        <f>IF(C7&gt;5, Language!$B$58, "")</f>
        <v/>
      </c>
      <c r="B23" s="351" t="str">
        <f>IF(AND($C$7 &gt; 1,C12&gt;4),    _xlfn.IFNA(     VLOOKUP(VLOOKUP(C12, TOURET,     HLOOKUP(           VLOOKUP(Colisage!G4,TRT_LGMAX_REP,  MATCH(C15,TRT_LGMAX)+1,0),         TRT_LGMAX_REP,   2,0),0),        DIM_TOURET,         2,0),""),"")</f>
        <v/>
      </c>
      <c r="C23" s="352"/>
      <c r="D23" s="352"/>
      <c r="E23" s="352"/>
      <c r="F23" s="353"/>
      <c r="H23" s="263"/>
    </row>
    <row r="24" spans="1:8" ht="13.5" customHeight="1" x14ac:dyDescent="0.2">
      <c r="A24" s="258" t="str">
        <f>IF(C7&gt;5, _xlfn.CONCAT(Language!$B$56, D15, "m (DM)"), "")</f>
        <v/>
      </c>
      <c r="B24" s="257" t="str">
        <f>IF(AND($C$7 &gt; 1,B20&lt;&gt;"/"),   _xlfn.CONCAT(ROUND(VLOOKUP(B20,POIDS,3,0) *    $D$15,0), "kg"),"")</f>
        <v/>
      </c>
      <c r="C24" s="257" t="str">
        <f>IF(AND($C$7 &gt; 1,C20&lt;&gt;"/"),   _xlfn.CONCAT(ROUND(VLOOKUP(C20,POIDS,3,0) *    $D$15,0), "kg"),"")</f>
        <v/>
      </c>
      <c r="D24" s="257" t="str">
        <f>IF(AND($C$7 &gt; 1,D20&lt;&gt;"/"),   _xlfn.CONCAT(ROUND(VLOOKUP(D20,POIDS,3,0) *    $D$15,0), "kg"),"")</f>
        <v/>
      </c>
      <c r="E24" s="257" t="str">
        <f>IF(AND($C$7 &gt; 1,E20&lt;&gt;"/"),   _xlfn.CONCAT(ROUND(VLOOKUP(E20,POIDS,3,0) *    $D$15,0), "kg"),"")</f>
        <v/>
      </c>
      <c r="F24" s="257" t="str">
        <f>IF(AND($C$7 &gt; 1,F20&lt;&gt;"/"),   _xlfn.CONCAT(ROUND(VLOOKUP(F20,POIDS,3,0) *    $D$15,0), "kg"),"")</f>
        <v/>
      </c>
      <c r="H24" s="263"/>
    </row>
    <row r="25" spans="1:8" ht="13.5" customHeight="1" x14ac:dyDescent="0.2">
      <c r="A25" s="258" t="str">
        <f>IF(C7&gt;5, Language!$B$57, "")</f>
        <v/>
      </c>
      <c r="B25" s="351" t="str">
        <f>IF(AND($C$7 &gt; 1,C12&gt;4),     _xlfn.IFNA(       VLOOKUP(VLOOKUP(C12, TOURET,     HLOOKUP(           VLOOKUP(Colisage!G4,TRT_LGMAX_REP,  MATCH(D15,TRT_LGMAX)+1,0),         TRT_LGMAX_REP,   2,0),0),        DIM_TOURET,         2,0),""),"")</f>
        <v/>
      </c>
      <c r="C25" s="352"/>
      <c r="D25" s="352"/>
      <c r="E25" s="352"/>
      <c r="F25" s="353"/>
    </row>
    <row r="26" spans="1:8" ht="28" customHeight="1" x14ac:dyDescent="0.2">
      <c r="A26" s="258"/>
      <c r="B26" s="264"/>
      <c r="C26" s="264"/>
      <c r="D26" s="264"/>
      <c r="E26" s="264"/>
      <c r="F26" s="264"/>
    </row>
    <row r="27" spans="1:8" ht="24" x14ac:dyDescent="0.3">
      <c r="B27" s="52" t="str">
        <f>Language!$B$15</f>
        <v>Trolley rope</v>
      </c>
    </row>
    <row r="28" spans="1:8" ht="24" x14ac:dyDescent="0.3">
      <c r="B28" s="23" t="str">
        <f>Language!$B$18</f>
        <v>Diameter (mm)</v>
      </c>
      <c r="C28" s="60">
        <f>_xlfn.IFNA(    IF( VLOOKUP(C6,GME!A:I,9,FALSE) = "NC",  "Contact Potain Team",  VLOOKUP(C6,GME!A:H,8,FALSE)   ),       "")</f>
        <v>6.5</v>
      </c>
    </row>
    <row r="29" spans="1:8" ht="16.5" customHeight="1" x14ac:dyDescent="0.3">
      <c r="B29" s="23"/>
      <c r="C29" s="60"/>
    </row>
    <row r="30" spans="1:8" ht="21" customHeight="1" x14ac:dyDescent="0.3">
      <c r="B30" s="64" t="str">
        <f>Language!$B$23</f>
        <v>FRONT ROPE</v>
      </c>
      <c r="D30" s="23"/>
      <c r="E30" s="52"/>
    </row>
    <row r="31" spans="1:8" ht="21" customHeight="1" x14ac:dyDescent="0.2">
      <c r="B31" s="61" t="str">
        <f>Language!B26</f>
        <v>Length (m)</v>
      </c>
      <c r="C31" s="63">
        <f>IF($C$9&lt;&gt;"",          VLOOKUP(C6,     GME!L6:AF156,       HLOOKUP(C9,GME!N3:AF4,2,0),0),"JIB LENGTH NEEDED")</f>
        <v>125</v>
      </c>
      <c r="D31" s="120"/>
      <c r="E31" s="362" t="s">
        <v>347</v>
      </c>
      <c r="F31" s="363"/>
    </row>
    <row r="32" spans="1:8" ht="21" customHeight="1" x14ac:dyDescent="0.2">
      <c r="B32" s="61" t="str">
        <f>Language!B24</f>
        <v>Build</v>
      </c>
      <c r="C32" s="64" t="s">
        <v>551</v>
      </c>
      <c r="D32" s="64" t="s">
        <v>552</v>
      </c>
      <c r="E32" s="64" t="str">
        <f>IF(C28 = 14,'Base cable distribution'!E18, 'Base cable distribution'!E5)</f>
        <v>9 x High Performer</v>
      </c>
      <c r="F32" s="64" t="str">
        <f>IF(C28 = 14,'Base cable distribution'!F18, "DP9C")</f>
        <v>DP9C</v>
      </c>
    </row>
    <row r="33" spans="1:6" ht="21" customHeight="1" x14ac:dyDescent="0.2">
      <c r="B33" s="256" t="str">
        <f>Language!B27</f>
        <v>PN.</v>
      </c>
      <c r="C33" s="63" t="str">
        <f>_xlfn.IFNA(IF(OR(VLOOKUP($C6,GME_BASE,9,FALSE)=9, VLOOKUP($C6,GME_BASE,9,FALSE)="HIGH"),"/",VLOOKUP($C28,D,3,FALSE)),"/")</f>
        <v>/</v>
      </c>
      <c r="D33" s="63">
        <f>_xlfn.IFNA(IF(AND(VLOOKUP($C6,GME_BASE,9,FALSE)&gt;=6, VLOOKUP($C6,GME_BASE,9,FALSE)&lt;&gt;"HIGH"),VLOOKUP($C28,D,4,FALSE),"/"),"/")</f>
        <v>84058972</v>
      </c>
      <c r="E33" s="63">
        <f>_xlfn.IFNA(VLOOKUP(C28,D,5,FALSE),"/")</f>
        <v>84058992</v>
      </c>
      <c r="F33" s="63">
        <f>VLOOKUP(C28,D,6,FALSE)</f>
        <v>0</v>
      </c>
    </row>
    <row r="34" spans="1:6" x14ac:dyDescent="0.2">
      <c r="B34" s="354" t="str">
        <f>IF(C9&gt;1, Language!$B$57, "")</f>
        <v>Reel dimensions (DM)</v>
      </c>
      <c r="C34" s="257" t="str">
        <f>_xlfn.IFNA(IF(AND($C$9&gt; 1,C33&lt;&gt;"/"),   _xlfn.CONCAT( ROUND(VLOOKUP(C33,POIDS,3,0) *    $C$31,0), "kg"),""),"")</f>
        <v/>
      </c>
      <c r="D34" s="257" t="str">
        <f>_xlfn.IFNA(IF(AND($C$9&gt;1,D33&lt;&gt;"/"),_xlfn.CONCAT(ROUND(VLOOKUP(D33,POIDS,3,0)*$C$31,0),"kg"),""),"")</f>
        <v>19kg</v>
      </c>
      <c r="E34" s="257" t="str">
        <f>_xlfn.IFNA(IF(AND($C$9&gt; 1,E33&lt;&gt;"/"),   _xlfn.CONCAT( ROUND(VLOOKUP(E33,POIDS,3,0) *    $C$31,0), "kg"),""),"")</f>
        <v>24kg</v>
      </c>
    </row>
    <row r="35" spans="1:6" x14ac:dyDescent="0.2">
      <c r="A35" s="258"/>
      <c r="B35" s="355"/>
      <c r="C35" s="351" t="str">
        <f>_xlfn.IFNA(IF(AND($C$9 &gt; 1,C28&gt;4),         VLOOKUP(VLOOKUP(C28, TOURET,     HLOOKUP(           VLOOKUP(Colisage!G4,TRT_LGMAX_REP,  MATCH(C31,TRT_LGMAX)+1,0),         TRT_LGMAX_REP,   2,0),0),        DIM_TOURET,         2,0),""),"")</f>
        <v>61 x 61 x 51 cm</v>
      </c>
      <c r="D35" s="352"/>
      <c r="E35" s="353"/>
    </row>
    <row r="37" spans="1:6" ht="21" customHeight="1" x14ac:dyDescent="0.2">
      <c r="B37" s="64" t="str">
        <f>Language!$B$22</f>
        <v>REAR ROPE</v>
      </c>
    </row>
    <row r="38" spans="1:6" ht="21" customHeight="1" x14ac:dyDescent="0.2">
      <c r="B38" s="61" t="str">
        <f>Language!B26</f>
        <v>Length (m)</v>
      </c>
      <c r="C38" s="90">
        <f>VLOOKUP(C6,GME!A:J,10,FALSE)</f>
        <v>77</v>
      </c>
      <c r="D38" s="94" t="str">
        <f>IF(VLOOKUP(C6,GME!A:K,11,FALSE)=1,Language!$B$38,Language!$B$39)</f>
        <v>+ 1 THIMBLE</v>
      </c>
      <c r="E38" s="100"/>
    </row>
    <row r="39" spans="1:6" ht="21" customHeight="1" x14ac:dyDescent="0.2">
      <c r="B39" s="61" t="str">
        <f>Language!B24</f>
        <v>Build</v>
      </c>
      <c r="C39" s="64" t="s">
        <v>551</v>
      </c>
      <c r="D39" s="64" t="s">
        <v>552</v>
      </c>
      <c r="E39" s="97" t="str">
        <f>E32</f>
        <v>9 x High Performer</v>
      </c>
      <c r="F39" s="64" t="str">
        <f>F32</f>
        <v>DP9C</v>
      </c>
    </row>
    <row r="40" spans="1:6" ht="21" customHeight="1" x14ac:dyDescent="0.2">
      <c r="B40" s="61" t="str">
        <f>IF(VLOOKUP($C$6,GME!A:K,11,FALSE)=1,Language!B25,Language!B27)</f>
        <v>PN. with thimble</v>
      </c>
      <c r="C40" s="63" t="str">
        <f>IF(VLOOKUP($C$6,GME_BASE,9,FALSE)&lt;=6,IF(VLOOKUP($C$6,GME_BASE,11,FALSE)=1,VLOOKUP($C$28,D_1B,3,FALSE),VLOOKUP($C$28,D,3,FALSE)),"/")</f>
        <v>/</v>
      </c>
      <c r="D40" s="63">
        <f>_xlfn.IFNA(      IF(AND(VLOOKUP($C$6,GME_BASE,9,FALSE)&gt;=6, VLOOKUP($C6,GME_BASE,9,FALSE)&lt;&gt;"HIGH"),     IF(VLOOKUP($C$6,GME_BASE,11,FALSE)=1,      VLOOKUP($C$28,D_1B,4,FALSE),VLOOKUP($C$28,D,4,FALSE)),"/"),"/")</f>
        <v>84075190</v>
      </c>
      <c r="E40" s="63">
        <f>_xlfn.IFNA(IF(VLOOKUP($C$6,GME_BASE,9,FALSE)&gt;=6,IF(VLOOKUP($C$6,GME_BASE,11,FALSE)=1,VLOOKUP($C$28,D_1B,5,FALSE),VLOOKUP($C$28,D,5,FALSE)),"/"),"/")</f>
        <v>84075199</v>
      </c>
      <c r="F40" s="63">
        <f>IF(VLOOKUP($C$6,GME_BASE,9,FALSE)&gt;=6,IF(VLOOKUP($C$6,GME_BASE,11,FALSE)=1,VLOOKUP($C$28,D_1B,6,FALSE),VLOOKUP($C$28,D,6,FALSE)),"/")</f>
        <v>0</v>
      </c>
    </row>
    <row r="41" spans="1:6" x14ac:dyDescent="0.2">
      <c r="B41" s="354" t="str">
        <f>IF(C9&gt;1, Language!$B$57, "")</f>
        <v>Reel dimensions (DM)</v>
      </c>
      <c r="C41" s="257" t="str">
        <f>IF(AND($C$9&gt; 1,C40&lt;&gt;"/"),   _xlfn.CONCAT(ROUND(VLOOKUP(C40,POIDS,3,0) *    $C$38,0), "kg"),"")</f>
        <v/>
      </c>
      <c r="D41" s="257" t="str">
        <f>_xlfn.IFNA(IF(AND($C$9&gt; 1,D40&lt;&gt;"/"),   _xlfn.CONCAT(ROUND(VLOOKUP(D40,POIDS,3,0) *    $C$38,0), "kg"),""),"")</f>
        <v>12kg</v>
      </c>
      <c r="E41" s="257" t="str">
        <f>_xlfn.IFNA(IF(AND($C$9&gt; 1,E40&lt;&gt;"/"),   _xlfn.CONCAT(ROUND(VLOOKUP(E40,POIDS,3,0) *    $C$38,0), "kg"),""),"")</f>
        <v>13kg</v>
      </c>
    </row>
    <row r="42" spans="1:6" x14ac:dyDescent="0.2">
      <c r="A42" s="258"/>
      <c r="B42" s="355"/>
      <c r="C42" s="351" t="str">
        <f>_xlfn.IFNA(IF(AND($C$9 &gt; 1,C28&gt;4),         VLOOKUP(VLOOKUP(C28, TOURET,     HLOOKUP(           VLOOKUP(Colisage!G4,TRT_LGMAX_REP,  MATCH(C38,TRT_LGMAX)+1,0),         TRT_LGMAX_REP,   2,0),0),        DIM_TOURET,         2,0),""),"")</f>
        <v>61 x 61 x 51 cm</v>
      </c>
      <c r="D42" s="352"/>
      <c r="E42" s="353"/>
    </row>
    <row r="43" spans="1:6" x14ac:dyDescent="0.2">
      <c r="A43" s="258"/>
    </row>
    <row r="44" spans="1:6" ht="100" customHeight="1" x14ac:dyDescent="0.2">
      <c r="C44" s="72"/>
      <c r="D44" s="174"/>
      <c r="E44" s="72"/>
    </row>
  </sheetData>
  <mergeCells count="11">
    <mergeCell ref="C35:E35"/>
    <mergeCell ref="C42:E42"/>
    <mergeCell ref="B34:B35"/>
    <mergeCell ref="B41:B42"/>
    <mergeCell ref="G1:H1"/>
    <mergeCell ref="B18:F18"/>
    <mergeCell ref="C16:D16"/>
    <mergeCell ref="G4:H9"/>
    <mergeCell ref="E31:F31"/>
    <mergeCell ref="B25:F25"/>
    <mergeCell ref="B23:F23"/>
  </mergeCells>
  <conditionalFormatting sqref="B21:B22 B22:F22 B24:F24">
    <cfRule type="expression" dxfId="77" priority="44">
      <formula>IF($B$20&lt;&gt;"/",TRUE,FALSE)</formula>
    </cfRule>
  </conditionalFormatting>
  <conditionalFormatting sqref="B40">
    <cfRule type="expression" dxfId="76" priority="27">
      <formula>IF($C$6="",1,0)</formula>
    </cfRule>
  </conditionalFormatting>
  <conditionalFormatting sqref="B20:F20 B22:F22 B24:F24">
    <cfRule type="expression" dxfId="75" priority="32">
      <formula>IF($C$6="",TRUE,FALSE)</formula>
    </cfRule>
  </conditionalFormatting>
  <conditionalFormatting sqref="C21">
    <cfRule type="expression" dxfId="74" priority="43">
      <formula>IF($C$20&lt;&gt;"/",TRUE,FALSE)</formula>
    </cfRule>
  </conditionalFormatting>
  <conditionalFormatting sqref="C31">
    <cfRule type="expression" dxfId="73" priority="30">
      <formula>IF($C$6="",TRUE,FALSE)</formula>
    </cfRule>
  </conditionalFormatting>
  <conditionalFormatting sqref="C42">
    <cfRule type="expression" dxfId="72" priority="3">
      <formula>IF($C$6="",TRUE,FALSE)</formula>
    </cfRule>
    <cfRule type="expression" dxfId="71" priority="4">
      <formula>IF($B$20&lt;&gt;"/",TRUE,FALSE)</formula>
    </cfRule>
  </conditionalFormatting>
  <conditionalFormatting sqref="C44">
    <cfRule type="expression" dxfId="70" priority="35">
      <formula>IF(C40&lt;&gt;"/",TRUE,FALSE)</formula>
    </cfRule>
  </conditionalFormatting>
  <conditionalFormatting sqref="C38:D38">
    <cfRule type="expression" dxfId="68" priority="28">
      <formula>IF($C$6="",TRUE,FALSE)</formula>
    </cfRule>
  </conditionalFormatting>
  <conditionalFormatting sqref="C33:E34 C35">
    <cfRule type="expression" dxfId="67" priority="10">
      <formula>IF($C$6="",TRUE,FALSE)</formula>
    </cfRule>
  </conditionalFormatting>
  <conditionalFormatting sqref="C34:E34 C35">
    <cfRule type="expression" dxfId="66" priority="11">
      <formula>IF($B$20&lt;&gt;"/",TRUE,FALSE)</formula>
    </cfRule>
  </conditionalFormatting>
  <conditionalFormatting sqref="C41:E41">
    <cfRule type="expression" dxfId="65" priority="13">
      <formula>IF($B$20&lt;&gt;"/",TRUE,FALSE)</formula>
    </cfRule>
    <cfRule type="expression" dxfId="64" priority="12">
      <formula>IF($C$6="",TRUE,FALSE)</formula>
    </cfRule>
  </conditionalFormatting>
  <conditionalFormatting sqref="C40:F40">
    <cfRule type="expression" dxfId="63" priority="24">
      <formula>IF($C$6="",TRUE,FALSE)</formula>
    </cfRule>
  </conditionalFormatting>
  <conditionalFormatting sqref="D12">
    <cfRule type="expression" dxfId="62" priority="17">
      <formula>$C$6=""</formula>
    </cfRule>
  </conditionalFormatting>
  <conditionalFormatting sqref="D21">
    <cfRule type="expression" dxfId="61" priority="42">
      <formula>IF($D$20&lt;&gt;"/",TRUE,FALSE)</formula>
    </cfRule>
  </conditionalFormatting>
  <conditionalFormatting sqref="D44">
    <cfRule type="expression" dxfId="60" priority="34">
      <formula>AND(D40&lt;&gt;"/",D40&lt;&gt;0)</formula>
    </cfRule>
  </conditionalFormatting>
  <conditionalFormatting sqref="E21">
    <cfRule type="expression" dxfId="59" priority="41">
      <formula>IF($E$20&lt;&gt;"/",TRUE,FALSE)</formula>
    </cfRule>
  </conditionalFormatting>
  <conditionalFormatting sqref="E31">
    <cfRule type="expression" dxfId="58" priority="19">
      <formula>$C$28&lt;&gt;14</formula>
    </cfRule>
  </conditionalFormatting>
  <conditionalFormatting sqref="E44">
    <cfRule type="expression" dxfId="57" priority="33">
      <formula>IF(E40&lt;&gt;"/",TRUE,FALSE)</formula>
    </cfRule>
  </conditionalFormatting>
  <conditionalFormatting sqref="F21">
    <cfRule type="expression" dxfId="56" priority="40">
      <formula>IF($F$20&lt;&gt;"/",TRUE,FALSE)</formula>
    </cfRule>
  </conditionalFormatting>
  <conditionalFormatting sqref="F31">
    <cfRule type="expression" dxfId="55" priority="18">
      <formula>$C$28&lt;&gt;14</formula>
    </cfRule>
  </conditionalFormatting>
  <conditionalFormatting sqref="F32:F33">
    <cfRule type="expression" dxfId="54" priority="1">
      <formula>$C$28&lt;&gt;14</formula>
    </cfRule>
  </conditionalFormatting>
  <conditionalFormatting sqref="F33">
    <cfRule type="expression" dxfId="53" priority="2">
      <formula>IF($C$6="",TRUE,FALSE)</formula>
    </cfRule>
  </conditionalFormatting>
  <conditionalFormatting sqref="F39:F40">
    <cfRule type="expression" dxfId="52" priority="20">
      <formula>$C$28&lt;&gt;14</formula>
    </cfRule>
  </conditionalFormatting>
  <dataValidations count="3">
    <dataValidation type="list" allowBlank="1" showInputMessage="1" showErrorMessage="1" sqref="C9" xr:uid="{34675F1C-444C-4209-B325-43B715BFC335}">
      <formula1>LF</formula1>
    </dataValidation>
    <dataValidation errorStyle="warning" allowBlank="1" showInputMessage="1" showErrorMessage="1" errorTitle="ERROR" sqref="F1:F3" xr:uid="{9C07DD03-1D65-44E5-A254-77E2DE4ED100}"/>
    <dataValidation type="list" errorStyle="information" allowBlank="1" showInputMessage="1" showErrorMessage="1" errorTitle="Oops" error="Please choose a crane in this list" sqref="C6" xr:uid="{D9EE7E21-D2A0-49A6-A87B-C701BD8657DC}">
      <formula1>GME</formula1>
    </dataValidation>
  </dataValidations>
  <hyperlinks>
    <hyperlink ref="F1" location="MENU!F1" display="FR" xr:uid="{452CC786-5EBF-427C-B7FD-EA45108AA83E}"/>
    <hyperlink ref="A3" location="MENU!A1" display="&gt;&gt;" xr:uid="{5F31545A-9F72-45FB-946B-AF371FCDD07F}"/>
    <hyperlink ref="A4" location="'Cables métal GMA'!C5" display="GMA &lt;&lt;" xr:uid="{ABCE8485-7271-409A-BC19-4C79EAD4A994}"/>
    <hyperlink ref="A5" location="'Cables métal MR'!C5" display="GME &lt;&lt;" xr:uid="{097BD0A3-30FF-4B23-BD02-966EA3DDC676}"/>
  </hyperlinks>
  <pageMargins left="0.7" right="0.7" top="0.75" bottom="0.75" header="0.3" footer="0.3"/>
  <pageSetup orientation="portrait" r:id="rId1"/>
  <ignoredErrors>
    <ignoredError sqref="C38 B40 F33" evalError="1"/>
    <ignoredError sqref="D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DA39C80B-05DE-4B4F-AE73-D8527635C7B0}">
            <xm:f>IF((C7+C8) &lt;=(VLOOKUP(C6,GME!A:G,7,FALSE)),1,0)</xm:f>
            <x14:dxf>
              <font>
                <color rgb="FF00B050"/>
              </font>
            </x14:dxf>
          </x14:cfRule>
          <xm:sqref>C16:D16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D663-4D2F-43E0-AF96-1636F19D68D7}">
  <sheetPr codeName="Feuil4"/>
  <dimension ref="A1:I45"/>
  <sheetViews>
    <sheetView showGridLines="0" showRowColHeaders="0" workbookViewId="0">
      <selection activeCell="C6" sqref="C6"/>
    </sheetView>
  </sheetViews>
  <sheetFormatPr baseColWidth="10" defaultRowHeight="15" x14ac:dyDescent="0.2"/>
  <cols>
    <col min="1" max="1" width="28.5" customWidth="1"/>
    <col min="2" max="6" width="22.5" customWidth="1"/>
    <col min="7" max="7" width="30.5" customWidth="1"/>
    <col min="8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8" t="str">
        <f>Language!B62</f>
        <v>Spare Parts</v>
      </c>
      <c r="D1" s="45"/>
      <c r="E1" s="46"/>
      <c r="F1" s="48" t="str">
        <f>MENU!F1</f>
        <v>EN</v>
      </c>
      <c r="G1" s="356" t="s">
        <v>111</v>
      </c>
      <c r="H1" s="356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106" t="s">
        <v>176</v>
      </c>
      <c r="B3" s="52" t="str">
        <f>Language!$B$8</f>
        <v>GMA wire ropes</v>
      </c>
      <c r="C3" s="50"/>
      <c r="E3" s="51"/>
      <c r="F3" s="42"/>
      <c r="G3" s="44"/>
      <c r="H3" s="44"/>
    </row>
    <row r="4" spans="1:9" x14ac:dyDescent="0.2">
      <c r="A4" s="106" t="s">
        <v>178</v>
      </c>
    </row>
    <row r="5" spans="1:9" x14ac:dyDescent="0.2">
      <c r="A5" s="210" t="s">
        <v>359</v>
      </c>
    </row>
    <row r="6" spans="1:9" ht="21" customHeight="1" x14ac:dyDescent="0.2">
      <c r="A6" s="54" t="str">
        <f>Language!A9</f>
        <v>Sélection</v>
      </c>
      <c r="B6" s="53" t="str">
        <f>Language!B10</f>
        <v>Crane</v>
      </c>
      <c r="C6" s="272"/>
    </row>
    <row r="7" spans="1:9" ht="28" customHeight="1" x14ac:dyDescent="0.2"/>
    <row r="8" spans="1:9" ht="24" x14ac:dyDescent="0.3">
      <c r="B8" s="52" t="str">
        <f>Language!$B$14</f>
        <v>Hoist rope</v>
      </c>
      <c r="H8" s="156"/>
    </row>
    <row r="9" spans="1:9" ht="24" x14ac:dyDescent="0.3">
      <c r="B9" s="23" t="str">
        <f>Language!$B$18</f>
        <v>Diameter (mm)</v>
      </c>
      <c r="C9" s="60" t="str">
        <f>IF(C6&lt;&gt;"",VLOOKUP(C6,GMA_BASE,5,FALSE),"")</f>
        <v/>
      </c>
    </row>
    <row r="10" spans="1:9" ht="18" customHeight="1" x14ac:dyDescent="0.2"/>
    <row r="11" spans="1:9" ht="21" customHeight="1" x14ac:dyDescent="0.25">
      <c r="B11" s="61" t="str">
        <f>Language!B20</f>
        <v>Length (m)*</v>
      </c>
      <c r="C11" s="90" t="str">
        <f>IF(C6&lt;&gt;"",VLOOKUP(C6,GMA_BASE,3,FALSE),"")</f>
        <v/>
      </c>
      <c r="D11" s="94" t="e">
        <f>IF(VLOOKUP(C6,GMA_BASE,4,FALSE)=1,Language!$B$38,Language!$B$39)</f>
        <v>#N/A</v>
      </c>
      <c r="F11" s="40"/>
    </row>
    <row r="12" spans="1:9" ht="21" customHeight="1" x14ac:dyDescent="0.2">
      <c r="B12" s="366" t="str">
        <f>Language!$B$21</f>
        <v>Rope type</v>
      </c>
      <c r="C12" s="366"/>
      <c r="D12" s="366"/>
      <c r="E12" s="366"/>
      <c r="F12" s="366"/>
      <c r="G12" s="102" t="e">
        <f>VLOOKUP($C$6,GMA_BASE,19,0)</f>
        <v>#N/A</v>
      </c>
    </row>
    <row r="13" spans="1:9" ht="21" customHeight="1" x14ac:dyDescent="0.2">
      <c r="B13" s="64" t="s">
        <v>132</v>
      </c>
      <c r="C13" s="64" t="s">
        <v>388</v>
      </c>
      <c r="D13" s="64" t="s">
        <v>387</v>
      </c>
      <c r="E13" s="64" t="s">
        <v>139</v>
      </c>
      <c r="F13" s="64" t="s">
        <v>140</v>
      </c>
      <c r="G13" s="63" t="e">
        <f>IF(VLOOKUP($C$6,GMA_BASE,20,0)&lt;&gt;"",VLOOKUP($C$6,GMA_BASE,20,0),"")</f>
        <v>#N/A</v>
      </c>
    </row>
    <row r="14" spans="1:9" ht="21" customHeight="1" x14ac:dyDescent="0.2">
      <c r="B14" s="63" t="e">
        <f>IF(VLOOKUP(C6,GMA_BASE,4,FALSE)=1,"/",IF(VLOOKUP($C$6,GMA_BASE,6,FALSE)&lt;=1,VLOOKUP($C$9,LV,2,FALSE),"/"))</f>
        <v>#N/A</v>
      </c>
      <c r="C14" s="63" t="e">
        <f>IF(VLOOKUP(C6,GMA_BASE,4,FALSE)=1,IF(VLOOKUP($C$6,GMA_BASE,6,FALSE)&lt;=2,VLOOKUP($C$9,LV,7,FALSE),"/"),IF(VLOOKUP($C$6,GMA_BASE,6,FALSE)&lt;=2,VLOOKUP($C$9,LV,3,FALSE),"/"))</f>
        <v>#N/A</v>
      </c>
      <c r="D14" s="63" t="e">
        <f>IF(VLOOKUP(C6,GMA_BASE,4,FALSE)=1,IF(VLOOKUP($C$6,GMA_BASE,6,FALSE)&lt;=3,VLOOKUP($C$9,LV,8,FALSE),"/"),IF(VLOOKUP($C$6,GMA_BASE,6,FALSE)&lt;=3,VLOOKUP($C$9,LV,4,FALSE),"/"))</f>
        <v>#N/A</v>
      </c>
      <c r="E14" s="63" t="e">
        <f>IF(VLOOKUP(C6,GMA_BASE,4,FALSE)=1,"/",IF(VLOOKUP($C$6,GMA_BASE,6,FALSE)&lt;=4,VLOOKUP($C$9,LV,5,FALSE),"/"))</f>
        <v>#N/A</v>
      </c>
      <c r="F14" s="63" t="e">
        <f>IF(VLOOKUP(C6,GMA_BASE,4,FALSE)=1,"/",IF(VLOOKUP($C$6,GMA_BASE,6,FALSE)&lt;=5,VLOOKUP($C$9,LV,6,FALSE),"/"))</f>
        <v>#N/A</v>
      </c>
      <c r="G14" s="63" t="e">
        <f>IF(VLOOKUP($C$6,GMA_BASE,20,0)&lt;&gt;"",VLOOKUP($C$6,GMA_BASE,21,0),"")</f>
        <v>#N/A</v>
      </c>
    </row>
    <row r="15" spans="1:9" ht="100" customHeight="1" x14ac:dyDescent="0.2">
      <c r="B15" s="71"/>
      <c r="C15" s="71"/>
      <c r="D15" s="71"/>
      <c r="E15" s="71"/>
      <c r="F15" s="71"/>
    </row>
    <row r="16" spans="1:9" ht="21" customHeight="1" x14ac:dyDescent="0.2">
      <c r="B16" s="257" t="e">
        <f>IF(AND($C$9 &gt; 1,B14&lt;&gt;"/"),   _xlfn.CONCAT(   ROUND(VLOOKUP(B14,POIDS,3,0) *    $C$11,0), "kg"),"")</f>
        <v>#N/A</v>
      </c>
      <c r="C16" s="257" t="e">
        <f>IF(AND($C$9 &gt; 1,C14&lt;&gt;"/"),   _xlfn.CONCAT(   ROUND(VLOOKUP(C14,POIDS,3,0) *    $C$11,0), "kg"),"")</f>
        <v>#N/A</v>
      </c>
      <c r="D16" s="257" t="e">
        <f>IF(AND($C$9 &gt; 1,D14&lt;&gt;"/"),   _xlfn.CONCAT(   ROUND(VLOOKUP(D14,POIDS,3,0) *    $C$11,0), "kg"),"")</f>
        <v>#N/A</v>
      </c>
      <c r="E16" s="257" t="e">
        <f>IF(AND($C$9 &gt; 1,E14&lt;&gt;"/"),   _xlfn.CONCAT(   ROUND(VLOOKUP(E14,POIDS,3,0) *    $C$11,0), "kg"),"")</f>
        <v>#N/A</v>
      </c>
      <c r="F16" s="257" t="e">
        <f>IF(AND($C$9 &gt; 1,F14&lt;&gt;"/"),   _xlfn.CONCAT(   ROUND(VLOOKUP(F14,POIDS,3,0) *    $C$11,0), "kg"),"")</f>
        <v>#N/A</v>
      </c>
    </row>
    <row r="17" spans="1:6" ht="21" customHeight="1" x14ac:dyDescent="0.2">
      <c r="A17" s="258" t="str">
        <f>IF(C6&lt;&gt;"", Language!$B$57, "")</f>
        <v/>
      </c>
      <c r="B17" s="351" t="str">
        <f>IF(AND($C$6 &lt;&gt; "",C9&gt;4),         VLOOKUP(VLOOKUP(C9, TOURET,     HLOOKUP(           VLOOKUP(Colisage!G4,TRT_LGMAX_REP,  MATCH(C11,TRT_LGMAX)+1,0),         TRT_LGMAX_REP,   2,0),0),        DIM_TOURET,         2,0),"")</f>
        <v/>
      </c>
      <c r="C17" s="352"/>
      <c r="D17" s="352"/>
      <c r="E17" s="352"/>
      <c r="F17" s="353"/>
    </row>
    <row r="18" spans="1:6" ht="21" customHeight="1" x14ac:dyDescent="0.2">
      <c r="B18" s="264"/>
      <c r="C18" s="264"/>
      <c r="D18" s="264"/>
      <c r="E18" s="264"/>
      <c r="F18" s="264"/>
    </row>
    <row r="19" spans="1:6" ht="24" x14ac:dyDescent="0.3">
      <c r="B19" s="52" t="str">
        <f>Language!$B$15</f>
        <v>Trolley rope</v>
      </c>
    </row>
    <row r="20" spans="1:6" ht="24" x14ac:dyDescent="0.3">
      <c r="B20" s="23" t="str">
        <f>Language!$B$18</f>
        <v>Diameter (mm)</v>
      </c>
      <c r="C20" s="60" t="str">
        <f>IF(C6&lt;&gt;"",VLOOKUP(C6,GMA_BASE,7,FALSE),"")</f>
        <v/>
      </c>
    </row>
    <row r="21" spans="1:6" ht="16.5" customHeight="1" x14ac:dyDescent="0.3">
      <c r="B21" s="23"/>
      <c r="C21" s="60"/>
    </row>
    <row r="22" spans="1:6" ht="21" customHeight="1" x14ac:dyDescent="0.3">
      <c r="B22" s="64" t="str">
        <f>Language!$B$23</f>
        <v>FRONT ROPE</v>
      </c>
      <c r="D22" s="23"/>
      <c r="E22" s="95"/>
    </row>
    <row r="23" spans="1:6" ht="21" customHeight="1" x14ac:dyDescent="0.2">
      <c r="B23" s="61" t="str">
        <f>Language!B26</f>
        <v>Length (m)</v>
      </c>
      <c r="C23" s="63" t="e">
        <f>VLOOKUP(C6,GMA_BASE,11,FALSE)</f>
        <v>#N/A</v>
      </c>
      <c r="D23" s="101"/>
      <c r="E23" s="96"/>
    </row>
    <row r="24" spans="1:6" ht="21" customHeight="1" x14ac:dyDescent="0.2">
      <c r="B24" s="61" t="str">
        <f>Language!B24</f>
        <v>Build</v>
      </c>
      <c r="C24" s="64" t="s">
        <v>551</v>
      </c>
      <c r="D24" s="64" t="s">
        <v>552</v>
      </c>
      <c r="E24" s="64" t="s">
        <v>553</v>
      </c>
    </row>
    <row r="25" spans="1:6" ht="21" customHeight="1" x14ac:dyDescent="0.2">
      <c r="B25" s="61" t="str">
        <f>Language!B27</f>
        <v>PN.</v>
      </c>
      <c r="C25" s="63" t="e">
        <f>IF(VLOOKUP(C6,GMA_BASE,12,FALSE)=9,"/",VLOOKUP($C20,D,3,FALSE))</f>
        <v>#N/A</v>
      </c>
      <c r="D25" s="63" t="e">
        <f>IF(VLOOKUP(C6,GMA_BASE,12,FALSE)=9,"/",VLOOKUP($C20,D,4,FALSE))</f>
        <v>#N/A</v>
      </c>
      <c r="E25" s="63" t="e">
        <f>IF(VLOOKUP($C6,GMA_BASE,12,FALSE)="6ex","/",VLOOKUP($C20,D,5,FALSE))</f>
        <v>#N/A</v>
      </c>
    </row>
    <row r="26" spans="1:6" x14ac:dyDescent="0.2">
      <c r="B26" s="364" t="str">
        <f>IF(C6&lt;&gt;"", Language!$B$57, "")</f>
        <v/>
      </c>
      <c r="C26" s="257" t="e">
        <f>IF(AND( $C$23 &gt; 1,C25&lt;&gt;"/"),        _xlfn.CONCAT(ROUND(VLOOKUP(C25,POIDS,3,0)        *      $C$23,0),      "kg"        ),     "")</f>
        <v>#N/A</v>
      </c>
      <c r="D26" s="257" t="e">
        <f>IF(AND( $C$23 &gt; 1,D25&lt;&gt;"/"),        _xlfn.CONCAT(ROUND(VLOOKUP(D25,POIDS,3,0)        *      $C$23,0),      "kg"        ),     "")</f>
        <v>#N/A</v>
      </c>
      <c r="E26" s="257" t="e">
        <f>IF(AND( $C$23 &gt; 1,E25&lt;&gt;"/"),        _xlfn.CONCAT(ROUND(VLOOKUP(E25,POIDS,3,0)        *      $C$23,0),      "kg"        ),     "")</f>
        <v>#N/A</v>
      </c>
    </row>
    <row r="27" spans="1:6" x14ac:dyDescent="0.2">
      <c r="B27" s="365"/>
      <c r="C27" s="351" t="str">
        <f>IF(AND($C$6 &lt;&gt; "",C20&gt;4),         VLOOKUP(VLOOKUP(C20, TOURET,     HLOOKUP(           VLOOKUP(Colisage!G4,TRT_LGMAX_REP,  MATCH(C23,TRT_LGMAX)+1,0),         TRT_LGMAX_REP,   2,0),0),        DIM_TOURET,         2,0),"")</f>
        <v/>
      </c>
      <c r="D27" s="352"/>
      <c r="E27" s="353"/>
    </row>
    <row r="29" spans="1:6" ht="21" customHeight="1" x14ac:dyDescent="0.2">
      <c r="B29" s="64" t="str">
        <f>Language!$B$22</f>
        <v>REAR ROPE</v>
      </c>
    </row>
    <row r="30" spans="1:6" ht="21" customHeight="1" x14ac:dyDescent="0.2">
      <c r="B30" s="61" t="str">
        <f>Language!B26</f>
        <v>Length (m)</v>
      </c>
      <c r="C30" s="90" t="e">
        <f>VLOOKUP(C6,GMA_BASE,8,FALSE)</f>
        <v>#N/A</v>
      </c>
      <c r="D30" s="94" t="e">
        <f>IF(VLOOKUP(C6,GMA_BASE,10,FALSE)=1,Language!$B$38,Language!$B$39)</f>
        <v>#N/A</v>
      </c>
      <c r="E30" s="98"/>
    </row>
    <row r="31" spans="1:6" ht="21" customHeight="1" x14ac:dyDescent="0.2">
      <c r="B31" s="61" t="str">
        <f>Language!B24</f>
        <v>Build</v>
      </c>
      <c r="C31" s="64" t="s">
        <v>551</v>
      </c>
      <c r="D31" s="64" t="s">
        <v>552</v>
      </c>
      <c r="E31" s="64" t="s">
        <v>553</v>
      </c>
    </row>
    <row r="32" spans="1:6" ht="21" customHeight="1" x14ac:dyDescent="0.2">
      <c r="B32" s="61" t="str">
        <f>_xlfn.IFNA(IF(VLOOKUP($C$6,GMA_BASE,10,FALSE)=1,Language!B25,Language!B27),"")</f>
        <v/>
      </c>
      <c r="C32" s="63" t="e">
        <f>IF(OR(VLOOKUP($C$6,GMA_BASE,9,FALSE)&lt;=6,VLOOKUP($C$6,GMA_BASE,9,FALSE)="6ex"),IF(VLOOKUP($C$6,GMA_BASE,10,FALSE)=1,VLOOKUP($C$20,D_1B,3,FALSE),VLOOKUP($C$20,D,3,FALSE)),"/")</f>
        <v>#N/A</v>
      </c>
      <c r="D32" s="63" t="e">
        <f>IF(OR(VLOOKUP($C$6,GMA_BASE,9,FALSE)&lt;=6,VLOOKUP($C$6,GMA_BASE,9,FALSE)="6ex"),IF(VLOOKUP($C$6,GMA_BASE,10,FALSE)=1,VLOOKUP($C$20,D_1B,4,FALSE),VLOOKUP($C$20,D,4,FALSE)),"/")</f>
        <v>#N/A</v>
      </c>
      <c r="E32" s="63" t="e">
        <f>IF(VLOOKUP($C6,GMA_BASE,9,FALSE)="6ex","/",IF(VLOOKUP($C$6,GMA_BASE,9,FALSE)&gt;=6,IF(VLOOKUP($C$6,GMA_BASE,10,FALSE)=1,VLOOKUP($C$20,D_1B,5,FALSE),VLOOKUP($C$20,D,5,FALSE)),"/"))</f>
        <v>#N/A</v>
      </c>
    </row>
    <row r="33" spans="2:5" x14ac:dyDescent="0.2">
      <c r="B33" s="364" t="str">
        <f>IF(C6&lt;&gt;"", Language!$B$57, "")</f>
        <v/>
      </c>
      <c r="C33" s="257" t="e">
        <f>IF(AND( $C$30 &gt; 1,C32&lt;&gt;"/"),        _xlfn.CONCAT(ROUND(VLOOKUP(C32,POIDS,3,0)        *      $C$30,0),      "kg"        ),     "")</f>
        <v>#N/A</v>
      </c>
      <c r="D33" s="257" t="e">
        <f>IF(AND( $C$30 &gt; 1,D32&lt;&gt;"/"),        _xlfn.CONCAT(ROUND(VLOOKUP(D32,POIDS,3,0)        *      $C$30,0),      "kg"        ),     "")</f>
        <v>#N/A</v>
      </c>
      <c r="E33" s="257" t="e">
        <f>IF(AND( $C$30 &gt; 1,E32&lt;&gt;"/"),        _xlfn.CONCAT(ROUND(VLOOKUP(E32,POIDS,3,0)        *      $C$30,0),      "kg"        ),     "")</f>
        <v>#N/A</v>
      </c>
    </row>
    <row r="34" spans="2:5" x14ac:dyDescent="0.2">
      <c r="B34" s="365"/>
      <c r="C34" s="351" t="str">
        <f>IF(AND($C$6 &lt;&gt; "",C20&gt;4),         VLOOKUP(VLOOKUP(C20, TOURET,     HLOOKUP(           VLOOKUP(Colisage!G4,TRT_LGMAX_REP,  MATCH(C30,TRT_LGMAX)+1,0),         TRT_LGMAX_REP,   2,0),0),        DIM_TOURET,         2,0),"")</f>
        <v/>
      </c>
      <c r="D34" s="352"/>
      <c r="E34" s="353"/>
    </row>
    <row r="36" spans="2:5" ht="100" customHeight="1" x14ac:dyDescent="0.2">
      <c r="C36" s="72"/>
      <c r="D36" s="24"/>
      <c r="E36" s="24"/>
    </row>
    <row r="38" spans="2:5" ht="24" x14ac:dyDescent="0.3">
      <c r="B38" s="52" t="str">
        <f>Language!B28</f>
        <v>Other ropes</v>
      </c>
    </row>
    <row r="40" spans="2:5" ht="21" customHeight="1" x14ac:dyDescent="0.2">
      <c r="B40" s="64" t="str">
        <f>Language!B29</f>
        <v>Function</v>
      </c>
      <c r="C40" s="64" t="str">
        <f>Language!$B$18</f>
        <v>Diameter (mm)</v>
      </c>
      <c r="D40" s="64" t="str">
        <f>Language!B26</f>
        <v>Length (m)</v>
      </c>
      <c r="E40" s="64" t="str">
        <f>Language!B27</f>
        <v>PN.</v>
      </c>
    </row>
    <row r="41" spans="2:5" ht="21" customHeight="1" x14ac:dyDescent="0.2">
      <c r="B41" s="102" t="str">
        <f>Language!B30</f>
        <v>TELESCOPING</v>
      </c>
      <c r="C41" s="63" t="e">
        <f>IF(D41&lt;&gt;"",VLOOKUP(VLOOKUP($C$6,GMA_BASE,14,0),CABLE_SP,3,0),"")</f>
        <v>#N/A</v>
      </c>
      <c r="D41" s="63" t="e">
        <f>IF(VLOOKUP(C6,GMA_BASE,13,0)&lt;&gt;"",VLOOKUP(C6,GMA_BASE,13,0),"")</f>
        <v>#N/A</v>
      </c>
      <c r="E41" s="63" t="e">
        <f>IF(VLOOKUP(C6,GMA_BASE,14,0)&lt;&gt;"",VLOOKUP(VLOOKUP($C$6,GMA_BASE,14,0),CABLE_SP,2,0),"")</f>
        <v>#N/A</v>
      </c>
    </row>
    <row r="42" spans="2:5" ht="21" customHeight="1" x14ac:dyDescent="0.2">
      <c r="B42" s="102" t="str">
        <f>Language!B31</f>
        <v>RETAINING</v>
      </c>
      <c r="C42" s="63" t="e">
        <f>IF(D42&lt;&gt;"",VLOOKUP(VLOOKUP($C$6,GMA_BASE,16,0),CABLE_SP,3,0),"")</f>
        <v>#N/A</v>
      </c>
      <c r="D42" s="63" t="e">
        <f>IF(VLOOKUP(C6,GMA_BASE,15,0)&lt;&gt;"",VLOOKUP(C6,GMA_BASE,15,0),"")</f>
        <v>#N/A</v>
      </c>
      <c r="E42" s="63" t="e">
        <f>IF(VLOOKUP(C6,GMA_BASE,16,0)&lt;&gt;"",VLOOKUP(VLOOKUP($C$6,GMA_BASE,16,0),CABLE_SP,2,0),"")</f>
        <v>#N/A</v>
      </c>
    </row>
    <row r="43" spans="2:5" ht="21" customHeight="1" x14ac:dyDescent="0.2">
      <c r="B43" s="102" t="str">
        <f>Language!B32</f>
        <v>JIB UNFOLDING</v>
      </c>
      <c r="C43" s="63" t="e">
        <f>IF(D43&lt;&gt;"",VLOOKUP(VLOOKUP($C$6,GMA_BASE,18,0),CABLE_SP,3,0),"")</f>
        <v>#N/A</v>
      </c>
      <c r="D43" s="63" t="e">
        <f>IF(VLOOKUP(C6,GMA_BASE,17,0)&lt;&gt;"",VLOOKUP(C6,GMA_BASE,17,0),"")</f>
        <v>#N/A</v>
      </c>
      <c r="E43" s="63" t="e">
        <f>IF(VLOOKUP(C6,GMA_BASE,18,0)&lt;&gt;"",VLOOKUP(VLOOKUP($C$6,GMA_BASE,18,0),CABLE_SP,2,0),"")</f>
        <v>#N/A</v>
      </c>
    </row>
    <row r="44" spans="2:5" ht="21" customHeight="1" x14ac:dyDescent="0.2">
      <c r="B44" s="102" t="e">
        <f>VLOOKUP($C$6,GMA_BASE,19,0)</f>
        <v>#N/A</v>
      </c>
      <c r="C44" s="63" t="e">
        <f>IF(E44&lt;&gt;"",VLOOKUP(E44,CABLE_SP,3,0),"")</f>
        <v>#N/A</v>
      </c>
      <c r="D44" s="63" t="e">
        <f>IF(VLOOKUP($C$6,GMA_BASE,20,0)&lt;&gt;"",VLOOKUP($C$6,GMA_BASE,20,0),"")</f>
        <v>#N/A</v>
      </c>
      <c r="E44" s="63" t="e">
        <f>IF(VLOOKUP($C$6,GMA_BASE,20,0)&lt;&gt;"",VLOOKUP($C$6,GMA_BASE,21,0),"")</f>
        <v>#N/A</v>
      </c>
    </row>
    <row r="45" spans="2:5" ht="21" customHeight="1" x14ac:dyDescent="0.2"/>
  </sheetData>
  <sheetProtection algorithmName="SHA-512" hashValue="1mMBlU2VQs8TD8h1IfoX0InUXtq5zCIXfeJWQTxktZ7ZA+qRe/lLAviEOV1LAoTCXVVNlF+FSb1YGeIj+d2Zsw==" saltValue="0Xr59zQPui4J0UxKaOxbJQ==" spinCount="100000" sheet="1" scenarios="1" formatCells="0" formatColumns="0" formatRows="0" insertColumns="0" insertRows="0" insertHyperlinks="0" deleteColumns="0" deleteRows="0"/>
  <mergeCells count="7">
    <mergeCell ref="C34:E34"/>
    <mergeCell ref="B33:B34"/>
    <mergeCell ref="G1:H1"/>
    <mergeCell ref="B12:F12"/>
    <mergeCell ref="B17:F17"/>
    <mergeCell ref="C27:E27"/>
    <mergeCell ref="B26:B27"/>
  </mergeCells>
  <conditionalFormatting sqref="B15">
    <cfRule type="expression" dxfId="51" priority="37">
      <formula>IF($B$14&lt;&gt;"/",TRUE,FALSE)</formula>
    </cfRule>
  </conditionalFormatting>
  <conditionalFormatting sqref="B41:B43">
    <cfRule type="expression" dxfId="50" priority="23">
      <formula>IF(E41="",TRUE,FALSE)</formula>
    </cfRule>
  </conditionalFormatting>
  <conditionalFormatting sqref="B44">
    <cfRule type="expression" dxfId="49" priority="7">
      <formula>IF(VLOOKUP($C$6,GMA_BASE,20,0)="",TRUE,FALSE)</formula>
    </cfRule>
  </conditionalFormatting>
  <conditionalFormatting sqref="B44:E44">
    <cfRule type="expression" dxfId="48" priority="19">
      <formula>IF($C$6="",TRUE,FALSE)</formula>
    </cfRule>
  </conditionalFormatting>
  <conditionalFormatting sqref="B14:F14">
    <cfRule type="expression" dxfId="47" priority="32">
      <formula>IF($C$6="",TRUE,FALSE)</formula>
    </cfRule>
  </conditionalFormatting>
  <conditionalFormatting sqref="B16:F16 B17">
    <cfRule type="expression" dxfId="46" priority="3">
      <formula>IF($C$6="",TRUE,FALSE)</formula>
    </cfRule>
  </conditionalFormatting>
  <conditionalFormatting sqref="C15">
    <cfRule type="expression" dxfId="45" priority="36">
      <formula>IF($C$14&lt;&gt;"/",TRUE,FALSE)</formula>
    </cfRule>
  </conditionalFormatting>
  <conditionalFormatting sqref="C23">
    <cfRule type="expression" dxfId="44" priority="30">
      <formula>IF($C$6="",TRUE,FALSE)</formula>
    </cfRule>
  </conditionalFormatting>
  <conditionalFormatting sqref="C36">
    <cfRule type="expression" dxfId="43" priority="12">
      <formula>IF(AND($C$32&lt;&gt;"/",$C$25&lt;&gt;"/"),TRUE,FALSE)</formula>
    </cfRule>
    <cfRule type="expression" dxfId="42" priority="15">
      <formula>IF(OR($C$32&lt;&gt;"/",$C$25&lt;&gt;"/"),TRUE,FALSE)</formula>
    </cfRule>
  </conditionalFormatting>
  <conditionalFormatting sqref="C30:D30">
    <cfRule type="expression" dxfId="41" priority="27">
      <formula>IF($C$6="",TRUE,FALSE)</formula>
    </cfRule>
  </conditionalFormatting>
  <conditionalFormatting sqref="C25:E26 C27">
    <cfRule type="expression" dxfId="40" priority="2">
      <formula>IF($C$6="",TRUE,FALSE)</formula>
    </cfRule>
  </conditionalFormatting>
  <conditionalFormatting sqref="C32:E33 C34">
    <cfRule type="expression" dxfId="39" priority="1">
      <formula>IF($C$6="",TRUE,FALSE)</formula>
    </cfRule>
  </conditionalFormatting>
  <conditionalFormatting sqref="C41:E43">
    <cfRule type="expression" dxfId="38" priority="26">
      <formula>IF($C$6="",TRUE,FALSE)</formula>
    </cfRule>
  </conditionalFormatting>
  <conditionalFormatting sqref="C44:E44">
    <cfRule type="expression" dxfId="37" priority="20">
      <formula>IF(VLOOKUP($C$6,GMA_BASE,20,0)="",TRUE,FALSE)</formula>
    </cfRule>
  </conditionalFormatting>
  <conditionalFormatting sqref="D11">
    <cfRule type="expression" dxfId="36" priority="31">
      <formula>IF($C$6="",TRUE,FALSE)</formula>
    </cfRule>
  </conditionalFormatting>
  <conditionalFormatting sqref="D15">
    <cfRule type="expression" dxfId="35" priority="35">
      <formula>IF($D$14&lt;&gt;"/",TRUE,FALSE)</formula>
    </cfRule>
  </conditionalFormatting>
  <conditionalFormatting sqref="D36">
    <cfRule type="expression" dxfId="34" priority="16">
      <formula>IF(OR($D$32&lt;&gt;"/",$D$25&lt;&gt;"/"),TRUE,FALSE)</formula>
    </cfRule>
    <cfRule type="expression" dxfId="33" priority="13">
      <formula>IF(AND($D$32&lt;&gt;"/",$D$25&lt;&gt;"/"),TRUE,FALSE)</formula>
    </cfRule>
  </conditionalFormatting>
  <conditionalFormatting sqref="E15">
    <cfRule type="expression" dxfId="32" priority="34">
      <formula>IF($E$14&lt;&gt;"/",TRUE,FALSE)</formula>
    </cfRule>
  </conditionalFormatting>
  <conditionalFormatting sqref="E36">
    <cfRule type="expression" dxfId="31" priority="14">
      <formula>IF(AND($E$32&lt;&gt;"/",$E$25&lt;&gt;"/"),TRUE,FALSE)</formula>
    </cfRule>
    <cfRule type="expression" dxfId="30" priority="17">
      <formula>IF(OR($E$32&lt;&gt;"/",$E$25&lt;&gt;"/"),TRUE,FALSE)</formula>
    </cfRule>
  </conditionalFormatting>
  <conditionalFormatting sqref="F15">
    <cfRule type="expression" dxfId="29" priority="33">
      <formula>IF($F$14&lt;&gt;"/",TRUE,FALSE)</formula>
    </cfRule>
  </conditionalFormatting>
  <conditionalFormatting sqref="G12">
    <cfRule type="expression" dxfId="28" priority="11">
      <formula>IF(AND($C$6&lt;&gt;"",$B$14="/",$C$14="/",$D$14="/",$E$14="/",$F$14="/"),IF(VLOOKUP($C$6,GMA_BASE,20,0)="",TRUE,FALSE),TRUE)</formula>
    </cfRule>
  </conditionalFormatting>
  <conditionalFormatting sqref="G12:G14">
    <cfRule type="expression" dxfId="27" priority="5">
      <formula>IF($C$6="",TRUE,FALSE)</formula>
    </cfRule>
  </conditionalFormatting>
  <conditionalFormatting sqref="G13">
    <cfRule type="expression" dxfId="26" priority="10">
      <formula>IF(AND($C$6&lt;&gt;"",$B$14="/",$C$14="/",$D$14="/",$E$14="/",$F$14="/"),IF(VLOOKUP($C$6,GMA_BASE,20,0)="",TRUE,FALSE),TRUE)</formula>
    </cfRule>
  </conditionalFormatting>
  <conditionalFormatting sqref="G14">
    <cfRule type="expression" dxfId="25" priority="8">
      <formula>IF(AND($C$6&lt;&gt;"",$B$14="/",$C$14="/",$D$14="/",$E$14="/",$F$14="/"),IF(VLOOKUP($C$6,GMA_BASE,20,0)="",TRUE),TRUE)</formula>
    </cfRule>
  </conditionalFormatting>
  <dataValidations count="2">
    <dataValidation errorStyle="warning" allowBlank="1" showInputMessage="1" showErrorMessage="1" errorTitle="ERROR" sqref="F1:F3" xr:uid="{4F54F6E8-7A08-4B54-9A45-40C8C5C9C6AD}"/>
    <dataValidation type="list" allowBlank="1" showInputMessage="1" showErrorMessage="1" sqref="C6" xr:uid="{DAD1D8F5-184B-487A-A0E3-AF18699E97A3}">
      <formula1>GMA</formula1>
    </dataValidation>
  </dataValidations>
  <hyperlinks>
    <hyperlink ref="F1" location="MENU!F1" display="FR" xr:uid="{E1429002-BFDF-4641-B22F-6C5077DD62F0}"/>
    <hyperlink ref="A3" location="MENU!A1" display="&gt;&gt;" xr:uid="{BF6159C6-FBD1-40E0-B5F6-594980965384}"/>
    <hyperlink ref="A4" location="'Cables métal GME'!C5" display="GME &lt;&lt;" xr:uid="{02F54C38-FC99-4486-A799-3CEE9C715E80}"/>
    <hyperlink ref="A5" location="'Cables métal MR'!C5" display="GME &lt;&lt;" xr:uid="{D197B6BC-EB69-44A2-B6D0-C9BC1E912D65}"/>
  </hyperlinks>
  <pageMargins left="0.7" right="0.7" top="0.75" bottom="0.75" header="0.3" footer="0.3"/>
  <pageSetup orientation="portrait" r:id="rId1"/>
  <ignoredErrors>
    <ignoredError sqref="B14:F14 C30 C23 C41:E43 D44:E44 G12:G14 D11" evalError="1"/>
    <ignoredError sqref="F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12AE-1BE9-4104-B75F-8C85EF36A592}">
  <sheetPr codeName="Feuil2"/>
  <dimension ref="A1:I42"/>
  <sheetViews>
    <sheetView showGridLines="0" showRowColHeaders="0" workbookViewId="0">
      <selection activeCell="C6" sqref="C6"/>
    </sheetView>
  </sheetViews>
  <sheetFormatPr baseColWidth="10" defaultRowHeight="15" x14ac:dyDescent="0.2"/>
  <cols>
    <col min="1" max="1" width="28.5" customWidth="1"/>
    <col min="2" max="2" width="23.5" customWidth="1"/>
    <col min="3" max="3" width="26.5" customWidth="1"/>
    <col min="4" max="5" width="22.5" customWidth="1"/>
    <col min="6" max="6" width="22.33203125" customWidth="1"/>
    <col min="7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8" t="str">
        <f>Language!B62</f>
        <v>Spare Parts</v>
      </c>
      <c r="D1" s="45"/>
      <c r="E1" s="46"/>
      <c r="F1" s="48" t="str">
        <f>MENU!F1</f>
        <v>EN</v>
      </c>
      <c r="G1" s="356" t="s">
        <v>111</v>
      </c>
      <c r="H1" s="356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106" t="s">
        <v>176</v>
      </c>
      <c r="B3" s="52" t="str">
        <f>Language!$B$7</f>
        <v>MR wire ropes</v>
      </c>
      <c r="C3" s="50"/>
      <c r="E3" s="51"/>
      <c r="F3" s="42"/>
      <c r="G3" s="44"/>
      <c r="H3" s="44"/>
    </row>
    <row r="4" spans="1:9" x14ac:dyDescent="0.2">
      <c r="A4" s="106" t="s">
        <v>177</v>
      </c>
      <c r="G4" s="285"/>
      <c r="H4" s="285"/>
    </row>
    <row r="5" spans="1:9" x14ac:dyDescent="0.2">
      <c r="A5" s="106" t="s">
        <v>178</v>
      </c>
      <c r="G5" s="285"/>
      <c r="H5" s="285"/>
    </row>
    <row r="6" spans="1:9" ht="21" customHeight="1" x14ac:dyDescent="0.2">
      <c r="A6" s="54" t="str">
        <f>Language!A9</f>
        <v>Sélection</v>
      </c>
      <c r="B6" s="53" t="str">
        <f>Language!B10</f>
        <v>Crane</v>
      </c>
      <c r="C6" s="272"/>
      <c r="E6" s="58"/>
      <c r="F6" s="137"/>
      <c r="G6" s="285"/>
      <c r="H6" s="285"/>
    </row>
    <row r="7" spans="1:9" ht="21" customHeight="1" x14ac:dyDescent="0.2">
      <c r="B7" s="53" t="str">
        <f>Language!B13</f>
        <v>Jib Length</v>
      </c>
      <c r="C7" s="272"/>
      <c r="D7" s="23"/>
      <c r="E7" s="58"/>
      <c r="F7" s="137"/>
      <c r="G7" s="285"/>
      <c r="H7" s="285"/>
    </row>
    <row r="8" spans="1:9" ht="21" customHeight="1" x14ac:dyDescent="0.3">
      <c r="B8" s="53" t="str">
        <f>Language!B60</f>
        <v>HAF</v>
      </c>
      <c r="C8" s="272"/>
      <c r="D8" t="str">
        <f>Language!B61</f>
        <v>(Jib articulate pin height)</v>
      </c>
      <c r="E8" s="58"/>
      <c r="F8" s="187"/>
      <c r="G8" s="285"/>
      <c r="H8" s="285"/>
    </row>
    <row r="9" spans="1:9" ht="21" customHeight="1" x14ac:dyDescent="0.2">
      <c r="B9" s="53" t="str">
        <f>Language!B12</f>
        <v>Digging depth (m)</v>
      </c>
      <c r="C9" s="272"/>
      <c r="D9" s="23"/>
      <c r="E9" s="58"/>
      <c r="F9" s="137"/>
      <c r="G9" s="285"/>
      <c r="H9" s="285"/>
    </row>
    <row r="10" spans="1:9" ht="28" customHeight="1" x14ac:dyDescent="0.2"/>
    <row r="11" spans="1:9" ht="24" x14ac:dyDescent="0.3">
      <c r="B11" s="52" t="str">
        <f>Language!$B$14</f>
        <v>Hoist rope</v>
      </c>
    </row>
    <row r="12" spans="1:9" ht="24" x14ac:dyDescent="0.3">
      <c r="B12" s="23" t="str">
        <f>Language!$B$18</f>
        <v>Diameter (mm)</v>
      </c>
      <c r="C12" s="60" t="str">
        <f>IF(C6&lt;&gt;"",VLOOKUP(C6,MR_BASE,2,FALSE),"")</f>
        <v/>
      </c>
      <c r="D12" s="114" t="str">
        <f>IF(C6="","",IF(VLOOKUP($C$6,MR_BASE,3,FALSE)=6,VLOOKUP($C$12,LV,10,FALSE),""))</f>
        <v/>
      </c>
    </row>
    <row r="13" spans="1:9" ht="18" customHeight="1" x14ac:dyDescent="0.2"/>
    <row r="14" spans="1:9" ht="21" customHeight="1" x14ac:dyDescent="0.2">
      <c r="B14" s="61" t="str">
        <f>Language!B19</f>
        <v>Rope reving</v>
      </c>
      <c r="C14" s="62" t="s">
        <v>84</v>
      </c>
      <c r="D14" s="284" t="s">
        <v>85</v>
      </c>
      <c r="E14" s="367" t="e">
        <f>IF(VLOOKUP(C6,MR_BASE,MR!S4,0)&lt;&gt;"",Language!B53,"")</f>
        <v>#N/A</v>
      </c>
      <c r="F14" s="367"/>
    </row>
    <row r="15" spans="1:9" ht="14.5" customHeight="1" x14ac:dyDescent="0.2">
      <c r="B15" s="199" t="s">
        <v>371</v>
      </c>
      <c r="C15" s="200" t="str">
        <f>_xlfn.IFNA(VLOOKUP(C6,MR_BASE,HLOOKUP(C7,LF_FONCTION_MR,2,0),0),"")</f>
        <v/>
      </c>
      <c r="D15" s="281" t="str">
        <f>_xlfn.IFNA(IF(VLOOKUP(C6,MR_BASE,6,0)&lt;C7," / ",VLOOKUP(C6,MR_BASE,HLOOKUP(C7,LF_FONCTION_MR,2,0),0)+C7*2),"")</f>
        <v/>
      </c>
      <c r="E15" s="369" t="e">
        <f>VLOOKUP(C6,MR_BASE,MR!S4,0)</f>
        <v>#N/A</v>
      </c>
      <c r="F15" s="369"/>
    </row>
    <row r="16" spans="1:9" ht="21" customHeight="1" x14ac:dyDescent="0.2">
      <c r="B16" s="61" t="str">
        <f>Language!B20</f>
        <v>Length (m)*</v>
      </c>
      <c r="C16" s="63" t="str">
        <f>_xlfn.IFNA(VLOOKUP(C6,MR_BASE,HLOOKUP(C7,LF_FONCTION_MR,2,0),0)+(C8+C9)*2,"FILL ↑")</f>
        <v>FILL ↑</v>
      </c>
      <c r="D16" s="90" t="str">
        <f>_xlfn.IFNA(  IF(VLOOKUP(C6,MR_BASE,6,0) &lt; C7,          " / ",(VLOOKUP(C6,MR_BASE,HLOOKUP(C7,LF_FONCTION_MR,2,0),0)+C7*2) + (C8+C9)*4),"FILL ↑")</f>
        <v>FILL ↑</v>
      </c>
      <c r="E16" s="369"/>
      <c r="F16" s="369"/>
    </row>
    <row r="17" spans="1:6" ht="31.5" customHeight="1" x14ac:dyDescent="0.2">
      <c r="B17" s="279"/>
      <c r="C17" s="342"/>
      <c r="D17" s="342"/>
      <c r="E17" s="282"/>
      <c r="F17" s="282"/>
    </row>
    <row r="18" spans="1:6" ht="30.75" customHeight="1" x14ac:dyDescent="0.2">
      <c r="B18" s="280" t="str">
        <f>Language!B37</f>
        <v>* Calculation doesn't take into account max hoist drum capacity and use.</v>
      </c>
      <c r="E18" s="283"/>
    </row>
    <row r="19" spans="1:6" ht="21" customHeight="1" x14ac:dyDescent="0.2">
      <c r="B19" s="357" t="str">
        <f>Language!$B$21</f>
        <v>Rope type</v>
      </c>
      <c r="C19" s="357"/>
      <c r="D19" s="357"/>
      <c r="E19" s="357"/>
      <c r="F19" s="358"/>
    </row>
    <row r="20" spans="1:6" ht="21" customHeight="1" x14ac:dyDescent="0.2">
      <c r="B20" s="64" t="s">
        <v>132</v>
      </c>
      <c r="C20" s="64" t="s">
        <v>388</v>
      </c>
      <c r="D20" s="64" t="s">
        <v>387</v>
      </c>
      <c r="E20" s="64" t="s">
        <v>139</v>
      </c>
      <c r="F20" s="64" t="s">
        <v>140</v>
      </c>
    </row>
    <row r="21" spans="1:6" ht="21" customHeight="1" x14ac:dyDescent="0.2">
      <c r="B21" s="63" t="e">
        <f>IF(AND(VLOOKUP($C$6,MR_BASE,3,FALSE)&lt;=1,($C$8+$C$9)&lt;=VLOOKUP(C6,MR_BASE,4,0)),VLOOKUP($C$12,LV,2,FALSE),"/")</f>
        <v>#N/A</v>
      </c>
      <c r="C21" s="63" t="e">
        <f>IF(AND(VLOOKUP($C$6,MR_BASE,3,FALSE)&lt;=2,($C$8+$C$9)&lt;=VLOOKUP(C6,MR_BASE,4,0)),VLOOKUP($C$12,LV,3,FALSE),"/")</f>
        <v>#N/A</v>
      </c>
      <c r="D21" s="63" t="e">
        <f>IF(VLOOKUP($C$6,MR_BASE,3,FALSE)&lt;=3,IF(            OR(      C16&gt;MR!D3,    IF( D16=" / ",  FALSE, D16&gt;MR!D3  )   ),        "/",     VLOOKUP($C$12,LV,4,FALSE)        ),"/")</f>
        <v>#N/A</v>
      </c>
      <c r="E21" s="63" t="e">
        <f>IF(  VLOOKUP($C$6,MR_BASE,3,FALSE)&lt;=4,VLOOKUP($C$12,LV,5,FALSE),"/")</f>
        <v>#N/A</v>
      </c>
      <c r="F21" s="63" t="e">
        <f>IF(  VLOOKUP($C$6,MR_BASE,3,FALSE)&lt;=5,VLOOKUP($C$12,LV,6,FALSE),"/")</f>
        <v>#N/A</v>
      </c>
    </row>
    <row r="22" spans="1:6" ht="100" customHeight="1" x14ac:dyDescent="0.2">
      <c r="B22" s="71"/>
      <c r="C22" s="71"/>
      <c r="D22" s="71"/>
      <c r="E22" s="71"/>
      <c r="F22" s="71"/>
    </row>
    <row r="23" spans="1:6" ht="13.5" customHeight="1" x14ac:dyDescent="0.2">
      <c r="A23" s="258" t="str">
        <f>IF(C7&gt;5,_xlfn.CONCAT(Language!$B$56, C15, "m (SM)"), "")</f>
        <v/>
      </c>
      <c r="B23" s="257" t="e">
        <f>IF(AND($C$8 &gt; 1,B21&lt;&gt;"/"),   _xlfn.CONCAT(   ROUND(VLOOKUP(B21,POIDS,3,0) *    C16, 0), "kg"),"")</f>
        <v>#N/A</v>
      </c>
      <c r="C23" s="257" t="e">
        <f>IF(AND($C$8 &gt; 1,C21&lt;&gt;"/"),   _xlfn.CONCAT(   ROUND(VLOOKUP(C21,POIDS,3,0) *    C16, 0), "kg"),"")</f>
        <v>#N/A</v>
      </c>
      <c r="D23" s="257" t="e">
        <f>IF(AND($C$8 &gt; 1,D21&lt;&gt;"/"),   _xlfn.CONCAT(   ROUND(VLOOKUP(D21,POIDS,3,0) *    C16, 0), "kg"),"")</f>
        <v>#N/A</v>
      </c>
      <c r="E23" s="257" t="e">
        <f>IF(AND($C$8 &gt; 1,E21&lt;&gt;"/"),   _xlfn.CONCAT(   ROUND(VLOOKUP(E21,POIDS,3,0) *    C16, 0), "kg"),"")</f>
        <v>#N/A</v>
      </c>
      <c r="F23" s="257" t="e">
        <f>IF(AND($C$8 &gt; 1,F21&lt;&gt;"/"),   _xlfn.CONCAT(   ROUND(VLOOKUP(F21,POIDS,3,0) *    C16, 0), "kg"),"")</f>
        <v>#N/A</v>
      </c>
    </row>
    <row r="24" spans="1:6" ht="13.5" customHeight="1" x14ac:dyDescent="0.2">
      <c r="A24" s="258" t="str">
        <f>IF(C7&gt;5,Language!$B$58, "")</f>
        <v/>
      </c>
      <c r="B24" s="351" t="str">
        <f>_xlfn.IFNA(IF(AND(C8&gt;1,C12&gt;4,C7&gt;10),         VLOOKUP(VLOOKUP(C12, TOURET,     HLOOKUP(           VLOOKUP(Colisage!G4,TRT_LGMAX_REP,  MATCH(C16,TRT_LGMAX)+1,0),         TRT_LGMAX_REP,   2,0),0),        DIM_TOURET,         2,0),""),"")</f>
        <v/>
      </c>
      <c r="C24" s="352"/>
      <c r="D24" s="352"/>
      <c r="E24" s="352"/>
      <c r="F24" s="353"/>
    </row>
    <row r="25" spans="1:6" ht="13.5" customHeight="1" x14ac:dyDescent="0.2">
      <c r="A25" s="258" t="str">
        <f>IF(C7&gt;5,_xlfn.CONCAT(Language!$B$56, D15, "m (DM)"), "")</f>
        <v/>
      </c>
      <c r="B25" s="257" t="e">
        <f>IF(AND($C$8 &gt; 1,B21&lt;&gt;"/", ISTEXT($D$16)=FALSE ),  _xlfn.CONCAT(   ROUND(VLOOKUP(B21,POIDS,3,0) *    $D$16, 0), "kg"),"")</f>
        <v>#N/A</v>
      </c>
      <c r="C25" s="257" t="e">
        <f>IF(AND($C$8 &gt; 1,C21&lt;&gt;"/", ISTEXT($D$16)=FALSE ),  _xlfn.CONCAT(   ROUND(VLOOKUP(C21,POIDS,3,0) *    $D$16, 0), "kg"),"")</f>
        <v>#N/A</v>
      </c>
      <c r="D25" s="257" t="e">
        <f>IF(AND($C$8 &gt; 1,D21&lt;&gt;"/", ISTEXT($D$16)=FALSE ),  _xlfn.CONCAT(   ROUND(VLOOKUP(D21,POIDS,3,0) *    $D$16, 0), "kg"),"")</f>
        <v>#N/A</v>
      </c>
      <c r="E25" s="257" t="e">
        <f>IF(AND($C$8 &gt; 1,E21&lt;&gt;"/", ISTEXT($D$16)=FALSE ),  _xlfn.CONCAT(   ROUND(VLOOKUP(E21,POIDS,3,0) *    $D$16, 0), "kg"),"")</f>
        <v>#N/A</v>
      </c>
      <c r="F25" s="257" t="e">
        <f>IF(AND($C$8 &gt; 1,F21&lt;&gt;"/", ISTEXT($D$16)=FALSE ),  _xlfn.CONCAT(   ROUND(VLOOKUP(F21,POIDS,3,0) *    $D$16, 0), "kg"),"")</f>
        <v>#N/A</v>
      </c>
    </row>
    <row r="26" spans="1:6" ht="13.5" customHeight="1" x14ac:dyDescent="0.2">
      <c r="A26" s="258" t="str">
        <f>IF(C7&gt;5,Language!$B$57,"")</f>
        <v/>
      </c>
      <c r="B26" s="351" t="str">
        <f>_xlfn.IFNA(IF(AND(C8&gt;1,C12&gt;4,C7&gt;10),         VLOOKUP(VLOOKUP(C12, TOURET,     HLOOKUP(           VLOOKUP(Colisage!G4,TRT_LGMAX_REP,  MATCH(D16,TRT_LGMAX)+1,0),         TRT_LGMAX_REP,   2,0),0),        DIM_TOURET,         2,0),""),"")</f>
        <v/>
      </c>
      <c r="C26" s="352"/>
      <c r="D26" s="352"/>
      <c r="E26" s="352"/>
      <c r="F26" s="353"/>
    </row>
    <row r="27" spans="1:6" ht="28" customHeight="1" x14ac:dyDescent="0.2"/>
    <row r="28" spans="1:6" ht="24" x14ac:dyDescent="0.3">
      <c r="B28" s="52" t="str">
        <f>Language!$B$16</f>
        <v>Relevage rope</v>
      </c>
    </row>
    <row r="29" spans="1:6" ht="24" x14ac:dyDescent="0.3">
      <c r="B29" s="23" t="str">
        <f>Language!$B$18</f>
        <v>Diameter (mm)</v>
      </c>
      <c r="C29" s="60" t="str">
        <f>IF(C6&lt;&gt;"",VLOOKUP(C6,MR_BASE,MR!T4,FALSE),"")</f>
        <v/>
      </c>
    </row>
    <row r="30" spans="1:6" ht="16.5" customHeight="1" x14ac:dyDescent="0.3">
      <c r="B30" s="23"/>
      <c r="C30" s="60"/>
    </row>
    <row r="31" spans="1:6" ht="21" customHeight="1" x14ac:dyDescent="0.2">
      <c r="B31" s="102" t="str">
        <f>Language!B26</f>
        <v>Length (m)</v>
      </c>
      <c r="C31" s="63" t="str">
        <f>IF(C6&lt;&gt;"",VLOOKUP(C6,MR_BASE,MR!V4,FALSE),"")</f>
        <v/>
      </c>
      <c r="D31" s="207"/>
      <c r="E31" s="368"/>
      <c r="F31" s="368"/>
    </row>
    <row r="32" spans="1:6" ht="21" customHeight="1" x14ac:dyDescent="0.2">
      <c r="B32" s="102" t="str">
        <f>Language!B27</f>
        <v>PN.</v>
      </c>
      <c r="C32" s="63" t="str">
        <f>IF(C6&lt;&gt;"",VLOOKUP(C6,MR_BASE,MR!U4,FALSE),"")</f>
        <v/>
      </c>
      <c r="D32" s="208"/>
      <c r="E32" s="208"/>
      <c r="F32" s="208"/>
    </row>
    <row r="33" spans="2:6" x14ac:dyDescent="0.2">
      <c r="B33" s="354" t="str">
        <f>IF(C6&lt;&gt;"", Language!$B$63, "")</f>
        <v/>
      </c>
      <c r="C33" s="257" t="str">
        <f>IF(AND($C$31 &gt; 1,C32&lt;&gt;""),   _xlfn.CONCAT(   ROUND(VLOOKUP(C32,POIDS,3,0) *    $C$31, 0), "kg"),"")</f>
        <v/>
      </c>
    </row>
    <row r="34" spans="2:6" ht="28.5" customHeight="1" x14ac:dyDescent="0.2">
      <c r="B34" s="355"/>
      <c r="C34" s="267" t="e">
        <f>IF(AND(C29&gt;1,C31&gt;4),         VLOOKUP(VLOOKUP(C29, TOURET,     HLOOKUP(           VLOOKUP(Colisage!G4,TRT_LGMAX_REP,  MATCH(C31,TRT_LGMAX)+1,0),         TRT_LGMAX_REP,   2,0),0),        DIM_TOURET,         2,0),"")</f>
        <v>#N/A</v>
      </c>
    </row>
    <row r="36" spans="2:6" ht="24" x14ac:dyDescent="0.3">
      <c r="B36" s="52" t="str">
        <f>Language!$B$17</f>
        <v>Auxiliary rope</v>
      </c>
    </row>
    <row r="37" spans="2:6" ht="24" x14ac:dyDescent="0.3">
      <c r="B37" s="23" t="str">
        <f>Language!$B$18</f>
        <v>Diameter (mm)</v>
      </c>
      <c r="C37" s="60" t="e">
        <f>IF(VLOOKUP(C6,MR_BASE,MR!X4,FALSE)&lt;&gt;"",VLOOKUP(C6,MR_BASE,MR!X4,FALSE),"")</f>
        <v>#N/A</v>
      </c>
    </row>
    <row r="38" spans="2:6" ht="16.5" customHeight="1" x14ac:dyDescent="0.3">
      <c r="B38" s="23"/>
      <c r="C38" s="60"/>
    </row>
    <row r="39" spans="2:6" ht="21" customHeight="1" x14ac:dyDescent="0.2">
      <c r="B39" s="102" t="str">
        <f>Language!B26</f>
        <v>Length (m)</v>
      </c>
      <c r="C39" s="63" t="e">
        <f>IF(C37="","",VLOOKUP(C6,MR_BASE,MR!Z4,FALSE))</f>
        <v>#N/A</v>
      </c>
      <c r="D39" s="207"/>
      <c r="E39" s="368"/>
      <c r="F39" s="368"/>
    </row>
    <row r="40" spans="2:6" ht="21" customHeight="1" x14ac:dyDescent="0.2">
      <c r="B40" s="102" t="str">
        <f>Language!B27</f>
        <v>PN.</v>
      </c>
      <c r="C40" s="209" t="e">
        <f>IF(C37="","",VLOOKUP(C6,MR_BASE,MR!Y4,FALSE))</f>
        <v>#N/A</v>
      </c>
      <c r="D40" s="208"/>
      <c r="E40" s="208"/>
      <c r="F40" s="208"/>
    </row>
    <row r="41" spans="2:6" ht="14" customHeight="1" x14ac:dyDescent="0.2">
      <c r="B41" s="354" t="str">
        <f>IF(C6&lt;&gt;"", Language!$B$63, "")</f>
        <v/>
      </c>
      <c r="C41" s="257" t="e">
        <f>IF(AND($C39 &gt; 1,C40&lt;&gt;""),   _xlfn.CONCAT(   ROUND(VLOOKUP(C40,POIDS,3,0) *    $C39, 0), "kg"),"")</f>
        <v>#N/A</v>
      </c>
    </row>
    <row r="42" spans="2:6" ht="28" customHeight="1" x14ac:dyDescent="0.2">
      <c r="B42" s="355"/>
      <c r="C42" s="267" t="e">
        <f>IF(AND(C37&gt;1,C39&gt;4),         VLOOKUP(VLOOKUP(C37, TOURET,     HLOOKUP(           VLOOKUP(Colisage!G4,TRT_LGMAX_REP,  MATCH(C39,TRT_LGMAX)+1,0),         TRT_LGMAX_REP,   2,0),0),        DIM_TOURET,         2,0),"")</f>
        <v>#N/A</v>
      </c>
    </row>
  </sheetData>
  <sheetProtection algorithmName="SHA-512" hashValue="4ZaAMPt35xMVjGq7fU+3vqQl3Dv6kMXV0JVu3NPhzIbNn8XGn9mlDbpJ7NrW1MWKc7X3cBJz03YnrJMh9XvSkQ==" saltValue="JfO+vqRvkf4MMzpzbvRcXg==" spinCount="100000" sheet="1" objects="1" scenarios="1" formatCells="0" formatColumns="0" formatRows="0" insertColumns="0" insertRows="0" insertHyperlinks="0" deleteColumns="0" deleteRows="0"/>
  <mergeCells count="10">
    <mergeCell ref="G1:H1"/>
    <mergeCell ref="B19:F19"/>
    <mergeCell ref="E31:F31"/>
    <mergeCell ref="B26:F26"/>
    <mergeCell ref="E15:F16"/>
    <mergeCell ref="B41:B42"/>
    <mergeCell ref="E14:F14"/>
    <mergeCell ref="E39:F39"/>
    <mergeCell ref="B33:B34"/>
    <mergeCell ref="B24:F24"/>
  </mergeCells>
  <conditionalFormatting sqref="B22:B23">
    <cfRule type="expression" dxfId="24" priority="44">
      <formula>IF($B$21&lt;&gt;"/",TRUE,FALSE)</formula>
    </cfRule>
  </conditionalFormatting>
  <conditionalFormatting sqref="B24">
    <cfRule type="expression" dxfId="23" priority="1">
      <formula>IF($C$6="",TRUE,FALSE)</formula>
    </cfRule>
  </conditionalFormatting>
  <conditionalFormatting sqref="B26">
    <cfRule type="expression" dxfId="22" priority="7">
      <formula>IF($C$6="",TRUE,FALSE)</formula>
    </cfRule>
  </conditionalFormatting>
  <conditionalFormatting sqref="B21:F21">
    <cfRule type="expression" dxfId="21" priority="36">
      <formula>IF($C$6="",TRUE,FALSE)</formula>
    </cfRule>
  </conditionalFormatting>
  <conditionalFormatting sqref="B23:F23 B25:F25">
    <cfRule type="expression" dxfId="20" priority="2">
      <formula>IF($C$6="",TRUE,FALSE)</formula>
    </cfRule>
  </conditionalFormatting>
  <conditionalFormatting sqref="C22">
    <cfRule type="expression" dxfId="19" priority="43">
      <formula>IF($C$21&lt;&gt;"/",TRUE,FALSE)</formula>
    </cfRule>
  </conditionalFormatting>
  <conditionalFormatting sqref="C31">
    <cfRule type="expression" dxfId="18" priority="34">
      <formula>IF($C$6="",TRUE,FALSE)</formula>
    </cfRule>
  </conditionalFormatting>
  <conditionalFormatting sqref="C33:C34">
    <cfRule type="expression" dxfId="17" priority="6">
      <formula>IF($C$6="",TRUE,FALSE)</formula>
    </cfRule>
  </conditionalFormatting>
  <conditionalFormatting sqref="C37">
    <cfRule type="expression" dxfId="16" priority="18">
      <formula>$C$6=""</formula>
    </cfRule>
  </conditionalFormatting>
  <conditionalFormatting sqref="C39">
    <cfRule type="expression" dxfId="15" priority="23">
      <formula>IF($C$6="",TRUE,FALSE)</formula>
    </cfRule>
  </conditionalFormatting>
  <conditionalFormatting sqref="C40">
    <cfRule type="expression" dxfId="14" priority="16">
      <formula>$C$37&lt;&gt;""</formula>
    </cfRule>
  </conditionalFormatting>
  <conditionalFormatting sqref="C41:C42">
    <cfRule type="expression" dxfId="13" priority="5">
      <formula>IF($C$6="",TRUE,FALSE)</formula>
    </cfRule>
  </conditionalFormatting>
  <conditionalFormatting sqref="D22">
    <cfRule type="expression" dxfId="12" priority="42">
      <formula>IF($D$21&lt;&gt;"/",TRUE,FALSE)</formula>
    </cfRule>
  </conditionalFormatting>
  <conditionalFormatting sqref="E22">
    <cfRule type="expression" dxfId="11" priority="41">
      <formula>IF($E$21&lt;&gt;"/",TRUE,FALSE)</formula>
    </cfRule>
  </conditionalFormatting>
  <conditionalFormatting sqref="E14:F16">
    <cfRule type="expression" dxfId="10" priority="8">
      <formula>$C$6=""</formula>
    </cfRule>
  </conditionalFormatting>
  <conditionalFormatting sqref="F22">
    <cfRule type="expression" dxfId="8" priority="40">
      <formula>IF($F$21&lt;&gt;"/",TRUE,FALSE)</formula>
    </cfRule>
  </conditionalFormatting>
  <dataValidations count="3">
    <dataValidation type="list" errorStyle="information" allowBlank="1" showInputMessage="1" showErrorMessage="1" errorTitle="Oops" error="Please choose a crane in this list" sqref="C6" xr:uid="{91D8639F-20B7-4D8E-9024-1DB06D85F54F}">
      <formula1>MR</formula1>
    </dataValidation>
    <dataValidation errorStyle="warning" allowBlank="1" showInputMessage="1" showErrorMessage="1" errorTitle="ERROR" sqref="F1:F3" xr:uid="{60F62E4E-A063-4220-8A66-304909F93C6C}"/>
    <dataValidation type="list" allowBlank="1" showInputMessage="1" showErrorMessage="1" sqref="C7" xr:uid="{CDBE37E7-63DC-40A2-95D6-81074E610188}">
      <formula1>LF_MR</formula1>
    </dataValidation>
  </dataValidations>
  <hyperlinks>
    <hyperlink ref="F1" location="MENU!F1" display="FR" xr:uid="{FC074CCD-41F8-4CB5-A552-69958E30FE4F}"/>
    <hyperlink ref="A3" location="MENU!A1" display="&gt;&gt;" xr:uid="{F721E69A-2F4E-4D51-AADE-DEC176407B89}"/>
    <hyperlink ref="A4" location="'Cables métal GMA'!C5" display="GMA &lt;&lt;" xr:uid="{392D4EA7-B6C4-44F2-A6D3-848259ED0929}"/>
    <hyperlink ref="A5" location="'Cables métal GME'!C5" display="GME &lt;&lt;" xr:uid="{22586980-23E6-4422-9A4E-D63FB5793F0B}"/>
  </hyperlinks>
  <pageMargins left="0.7" right="0.7" top="0.75" bottom="0.75" header="0.3" footer="0.3"/>
  <pageSetup orientation="portrait" r:id="rId1"/>
  <ignoredErrors>
    <ignoredError sqref="C37 C39:C40 E14:E15 F21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7837CFB6-EC45-48BF-9DA8-BA841CBDD69B}">
            <xm:f>VLOOKUP($C$6,MR_BASE,MR!$S$4,0)=""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E14:F16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784C-CDE8-4437-8864-CC9786FEB03A}">
  <sheetPr codeName="Feuil11"/>
  <dimension ref="A1:AA127"/>
  <sheetViews>
    <sheetView topLeftCell="A14" workbookViewId="0">
      <selection activeCell="D39" sqref="D39"/>
    </sheetView>
  </sheetViews>
  <sheetFormatPr baseColWidth="10" defaultRowHeight="15" x14ac:dyDescent="0.2"/>
  <cols>
    <col min="1" max="1" width="13.5" bestFit="1" customWidth="1"/>
    <col min="3" max="3" width="42.1640625" bestFit="1" customWidth="1"/>
    <col min="6" max="6" width="15.33203125" customWidth="1"/>
  </cols>
  <sheetData>
    <row r="1" spans="1:27" x14ac:dyDescent="0.2">
      <c r="D1" t="s">
        <v>550</v>
      </c>
    </row>
    <row r="2" spans="1:27" x14ac:dyDescent="0.2">
      <c r="B2" t="s">
        <v>429</v>
      </c>
      <c r="D2" s="259">
        <v>44253</v>
      </c>
    </row>
    <row r="3" spans="1:27" ht="37.5" customHeight="1" x14ac:dyDescent="0.2">
      <c r="A3" s="291" t="s">
        <v>605</v>
      </c>
      <c r="B3" s="292"/>
      <c r="C3" s="292"/>
      <c r="D3" s="56"/>
    </row>
    <row r="4" spans="1:27" x14ac:dyDescent="0.2">
      <c r="B4" t="s">
        <v>70</v>
      </c>
      <c r="D4" t="s">
        <v>480</v>
      </c>
      <c r="F4" s="261" t="s">
        <v>549</v>
      </c>
      <c r="G4" s="261">
        <v>30</v>
      </c>
      <c r="H4" s="261">
        <v>40</v>
      </c>
      <c r="I4" s="261">
        <v>50</v>
      </c>
      <c r="J4" s="261">
        <v>75</v>
      </c>
      <c r="K4" s="261">
        <v>100</v>
      </c>
      <c r="L4" s="261">
        <v>150</v>
      </c>
      <c r="M4" s="261">
        <v>200</v>
      </c>
      <c r="N4" s="261">
        <v>250</v>
      </c>
      <c r="O4" s="261">
        <v>300</v>
      </c>
      <c r="P4" s="261">
        <v>350</v>
      </c>
      <c r="Q4" s="261">
        <v>400</v>
      </c>
      <c r="R4" s="261">
        <v>450</v>
      </c>
      <c r="S4" s="261">
        <v>500</v>
      </c>
      <c r="T4" s="261">
        <v>550</v>
      </c>
      <c r="U4" s="261">
        <v>600</v>
      </c>
      <c r="V4" s="261">
        <v>650</v>
      </c>
      <c r="W4" s="261">
        <v>700</v>
      </c>
      <c r="X4" s="261">
        <v>750</v>
      </c>
      <c r="Y4" s="261">
        <v>850</v>
      </c>
      <c r="Z4" s="261">
        <v>900</v>
      </c>
      <c r="AA4" s="261">
        <v>1000</v>
      </c>
    </row>
    <row r="5" spans="1:27" x14ac:dyDescent="0.2">
      <c r="F5" s="262" t="s">
        <v>539</v>
      </c>
      <c r="G5" s="262">
        <v>2</v>
      </c>
      <c r="H5" s="262">
        <v>3</v>
      </c>
      <c r="I5" s="262">
        <v>4</v>
      </c>
      <c r="J5" s="262">
        <v>5</v>
      </c>
      <c r="K5" s="262">
        <v>6</v>
      </c>
      <c r="L5" s="262">
        <v>7</v>
      </c>
      <c r="M5" s="262">
        <v>8</v>
      </c>
      <c r="N5" s="262">
        <v>9</v>
      </c>
      <c r="O5" s="262">
        <v>10</v>
      </c>
      <c r="P5" s="262">
        <v>11</v>
      </c>
      <c r="Q5" s="262">
        <v>12</v>
      </c>
      <c r="R5" s="262">
        <v>13</v>
      </c>
      <c r="S5" s="262">
        <v>14</v>
      </c>
      <c r="T5" s="262">
        <v>15</v>
      </c>
      <c r="U5" s="262">
        <v>16</v>
      </c>
      <c r="V5" s="262">
        <v>17</v>
      </c>
      <c r="W5" s="262">
        <v>18</v>
      </c>
      <c r="X5" s="262">
        <v>19</v>
      </c>
      <c r="Y5" s="262">
        <v>20</v>
      </c>
      <c r="Z5" s="262">
        <v>21</v>
      </c>
      <c r="AA5" s="262">
        <v>22</v>
      </c>
    </row>
    <row r="6" spans="1:27" x14ac:dyDescent="0.2">
      <c r="A6" t="s">
        <v>363</v>
      </c>
      <c r="B6" s="235">
        <v>82002564</v>
      </c>
      <c r="C6" t="s">
        <v>430</v>
      </c>
      <c r="D6" s="251">
        <v>0.34</v>
      </c>
      <c r="E6" s="1"/>
      <c r="F6" s="261">
        <v>4.8</v>
      </c>
      <c r="G6" s="78" t="s">
        <v>533</v>
      </c>
      <c r="H6" s="78" t="s">
        <v>533</v>
      </c>
      <c r="I6" s="78" t="s">
        <v>533</v>
      </c>
      <c r="J6" s="78" t="s">
        <v>533</v>
      </c>
      <c r="K6" s="78" t="s">
        <v>533</v>
      </c>
      <c r="L6" s="78" t="s">
        <v>533</v>
      </c>
      <c r="M6" s="78" t="s">
        <v>533</v>
      </c>
      <c r="N6" s="78" t="s">
        <v>534</v>
      </c>
      <c r="O6" s="78" t="s">
        <v>534</v>
      </c>
      <c r="P6" s="78" t="s">
        <v>534</v>
      </c>
      <c r="Q6" s="78" t="s">
        <v>534</v>
      </c>
      <c r="R6" s="78" t="s">
        <v>534</v>
      </c>
      <c r="S6" s="78" t="s">
        <v>534</v>
      </c>
      <c r="T6" s="78" t="s">
        <v>534</v>
      </c>
      <c r="U6" s="78" t="s">
        <v>534</v>
      </c>
      <c r="V6" s="78" t="s">
        <v>534</v>
      </c>
      <c r="W6" s="78" t="s">
        <v>534</v>
      </c>
      <c r="X6" s="78" t="s">
        <v>534</v>
      </c>
      <c r="Y6" s="78" t="s">
        <v>534</v>
      </c>
      <c r="Z6" s="78" t="s">
        <v>534</v>
      </c>
      <c r="AA6" s="78" t="s">
        <v>535</v>
      </c>
    </row>
    <row r="7" spans="1:27" x14ac:dyDescent="0.2">
      <c r="B7" s="235">
        <v>82004298</v>
      </c>
      <c r="C7" t="s">
        <v>431</v>
      </c>
      <c r="D7" s="251">
        <v>0.43</v>
      </c>
      <c r="F7" s="261">
        <v>6</v>
      </c>
      <c r="G7" s="78" t="s">
        <v>533</v>
      </c>
      <c r="H7" s="78" t="s">
        <v>533</v>
      </c>
      <c r="I7" s="78" t="s">
        <v>533</v>
      </c>
      <c r="J7" s="78" t="s">
        <v>533</v>
      </c>
      <c r="K7" s="78" t="s">
        <v>533</v>
      </c>
      <c r="L7" s="78" t="s">
        <v>534</v>
      </c>
      <c r="M7" s="78" t="s">
        <v>534</v>
      </c>
      <c r="N7" s="78" t="s">
        <v>534</v>
      </c>
      <c r="O7" s="78" t="s">
        <v>534</v>
      </c>
      <c r="P7" s="78" t="s">
        <v>534</v>
      </c>
      <c r="Q7" s="78" t="s">
        <v>534</v>
      </c>
      <c r="R7" s="78" t="s">
        <v>534</v>
      </c>
      <c r="S7" s="78" t="s">
        <v>534</v>
      </c>
      <c r="T7" s="78" t="s">
        <v>535</v>
      </c>
      <c r="U7" s="78" t="s">
        <v>535</v>
      </c>
      <c r="V7" s="78" t="s">
        <v>535</v>
      </c>
      <c r="W7" s="78" t="s">
        <v>535</v>
      </c>
      <c r="X7" s="78" t="s">
        <v>535</v>
      </c>
      <c r="Y7" s="78" t="s">
        <v>535</v>
      </c>
      <c r="Z7" s="78" t="s">
        <v>535</v>
      </c>
      <c r="AA7" s="78" t="s">
        <v>535</v>
      </c>
    </row>
    <row r="8" spans="1:27" ht="16" x14ac:dyDescent="0.2">
      <c r="B8" s="235">
        <v>82004299</v>
      </c>
      <c r="C8" t="s">
        <v>432</v>
      </c>
      <c r="D8" s="251">
        <v>0.71</v>
      </c>
      <c r="F8" s="261">
        <v>6.5</v>
      </c>
      <c r="G8" s="78" t="s">
        <v>533</v>
      </c>
      <c r="H8" s="78" t="s">
        <v>533</v>
      </c>
      <c r="I8" s="78" t="s">
        <v>533</v>
      </c>
      <c r="J8" s="78" t="s">
        <v>533</v>
      </c>
      <c r="K8" s="260" t="s">
        <v>534</v>
      </c>
      <c r="L8" s="260" t="s">
        <v>534</v>
      </c>
      <c r="M8" s="260" t="s">
        <v>534</v>
      </c>
      <c r="N8" s="260" t="s">
        <v>534</v>
      </c>
      <c r="O8" s="260" t="s">
        <v>534</v>
      </c>
      <c r="P8" s="260" t="s">
        <v>534</v>
      </c>
      <c r="Q8" s="78" t="s">
        <v>535</v>
      </c>
      <c r="R8" s="78" t="s">
        <v>535</v>
      </c>
      <c r="S8" s="78" t="s">
        <v>535</v>
      </c>
      <c r="T8" s="78" t="s">
        <v>535</v>
      </c>
      <c r="U8" s="78" t="s">
        <v>535</v>
      </c>
      <c r="V8" s="78" t="s">
        <v>535</v>
      </c>
      <c r="W8" s="78" t="s">
        <v>535</v>
      </c>
      <c r="X8" s="78" t="s">
        <v>535</v>
      </c>
      <c r="Y8" s="78" t="s">
        <v>536</v>
      </c>
      <c r="Z8" s="78" t="s">
        <v>536</v>
      </c>
      <c r="AA8" s="78" t="s">
        <v>536</v>
      </c>
    </row>
    <row r="9" spans="1:27" ht="16" x14ac:dyDescent="0.2">
      <c r="B9" s="235">
        <v>82009144</v>
      </c>
      <c r="C9" t="s">
        <v>433</v>
      </c>
      <c r="D9" s="251">
        <v>0.51</v>
      </c>
      <c r="F9" s="261">
        <v>7</v>
      </c>
      <c r="G9" s="78" t="s">
        <v>533</v>
      </c>
      <c r="H9" s="78" t="s">
        <v>533</v>
      </c>
      <c r="I9" s="78" t="s">
        <v>533</v>
      </c>
      <c r="J9" s="78" t="s">
        <v>533</v>
      </c>
      <c r="K9" s="260" t="s">
        <v>534</v>
      </c>
      <c r="L9" s="260" t="s">
        <v>534</v>
      </c>
      <c r="M9" s="260" t="s">
        <v>534</v>
      </c>
      <c r="N9" s="260" t="s">
        <v>534</v>
      </c>
      <c r="O9" s="260" t="s">
        <v>534</v>
      </c>
      <c r="P9" s="260" t="s">
        <v>534</v>
      </c>
      <c r="Q9" s="78" t="s">
        <v>535</v>
      </c>
      <c r="R9" s="78" t="s">
        <v>535</v>
      </c>
      <c r="S9" s="78" t="s">
        <v>535</v>
      </c>
      <c r="T9" s="78" t="s">
        <v>535</v>
      </c>
      <c r="U9" s="78" t="s">
        <v>535</v>
      </c>
      <c r="V9" s="78" t="s">
        <v>535</v>
      </c>
      <c r="W9" s="78" t="s">
        <v>535</v>
      </c>
      <c r="X9" s="78" t="s">
        <v>535</v>
      </c>
      <c r="Y9" s="78" t="s">
        <v>536</v>
      </c>
      <c r="Z9" s="78" t="s">
        <v>536</v>
      </c>
      <c r="AA9" s="78" t="s">
        <v>536</v>
      </c>
    </row>
    <row r="10" spans="1:27" ht="16" x14ac:dyDescent="0.2">
      <c r="B10" s="235">
        <v>82009145</v>
      </c>
      <c r="C10" t="s">
        <v>434</v>
      </c>
      <c r="D10" s="251">
        <v>0.86</v>
      </c>
      <c r="F10" s="261">
        <v>7.5</v>
      </c>
      <c r="G10" s="78" t="s">
        <v>533</v>
      </c>
      <c r="H10" s="78" t="s">
        <v>533</v>
      </c>
      <c r="I10" s="78" t="s">
        <v>533</v>
      </c>
      <c r="J10" s="260" t="s">
        <v>534</v>
      </c>
      <c r="K10" s="260" t="s">
        <v>534</v>
      </c>
      <c r="L10" s="260" t="s">
        <v>534</v>
      </c>
      <c r="M10" s="260" t="s">
        <v>534</v>
      </c>
      <c r="N10" s="260" t="s">
        <v>534</v>
      </c>
      <c r="O10" s="260" t="s">
        <v>534</v>
      </c>
      <c r="P10" s="78" t="s">
        <v>535</v>
      </c>
      <c r="Q10" s="78" t="s">
        <v>535</v>
      </c>
      <c r="R10" s="78" t="s">
        <v>535</v>
      </c>
      <c r="S10" s="78" t="s">
        <v>535</v>
      </c>
      <c r="T10" s="78" t="s">
        <v>535</v>
      </c>
      <c r="U10" s="78" t="s">
        <v>535</v>
      </c>
      <c r="V10" s="78" t="s">
        <v>536</v>
      </c>
      <c r="W10" s="78" t="s">
        <v>536</v>
      </c>
      <c r="X10" s="78" t="s">
        <v>536</v>
      </c>
      <c r="Y10" s="78" t="s">
        <v>536</v>
      </c>
      <c r="Z10" s="78" t="s">
        <v>536</v>
      </c>
      <c r="AA10" s="78" t="s">
        <v>536</v>
      </c>
    </row>
    <row r="11" spans="1:27" x14ac:dyDescent="0.2">
      <c r="B11" s="235">
        <v>82009146</v>
      </c>
      <c r="C11" t="s">
        <v>435</v>
      </c>
      <c r="D11" s="251">
        <v>1.08</v>
      </c>
      <c r="F11" s="261">
        <v>8</v>
      </c>
      <c r="G11" s="78" t="s">
        <v>533</v>
      </c>
      <c r="H11" s="78" t="s">
        <v>533</v>
      </c>
      <c r="I11" s="78" t="s">
        <v>533</v>
      </c>
      <c r="J11" s="78" t="s">
        <v>534</v>
      </c>
      <c r="K11" s="78" t="s">
        <v>534</v>
      </c>
      <c r="L11" s="78" t="s">
        <v>534</v>
      </c>
      <c r="M11" s="78" t="s">
        <v>534</v>
      </c>
      <c r="N11" s="78" t="s">
        <v>534</v>
      </c>
      <c r="O11" s="78" t="s">
        <v>534</v>
      </c>
      <c r="P11" s="78" t="s">
        <v>535</v>
      </c>
      <c r="Q11" s="78" t="s">
        <v>535</v>
      </c>
      <c r="R11" s="78" t="s">
        <v>535</v>
      </c>
      <c r="S11" s="78" t="s">
        <v>535</v>
      </c>
      <c r="T11" s="78" t="s">
        <v>535</v>
      </c>
      <c r="U11" s="78" t="s">
        <v>536</v>
      </c>
      <c r="V11" s="78" t="s">
        <v>536</v>
      </c>
      <c r="W11" s="78" t="s">
        <v>536</v>
      </c>
      <c r="X11" s="78" t="s">
        <v>536</v>
      </c>
      <c r="Y11" s="78" t="s">
        <v>536</v>
      </c>
      <c r="Z11" s="78" t="s">
        <v>536</v>
      </c>
      <c r="AA11" s="78" t="s">
        <v>536</v>
      </c>
    </row>
    <row r="12" spans="1:27" ht="16" x14ac:dyDescent="0.2">
      <c r="B12" s="235">
        <v>82009147</v>
      </c>
      <c r="C12" t="s">
        <v>436</v>
      </c>
      <c r="D12" s="251">
        <v>1.36</v>
      </c>
      <c r="F12" s="261">
        <v>9</v>
      </c>
      <c r="G12" s="78" t="s">
        <v>533</v>
      </c>
      <c r="H12" s="78" t="s">
        <v>533</v>
      </c>
      <c r="I12" s="78" t="s">
        <v>533</v>
      </c>
      <c r="J12" s="78" t="s">
        <v>534</v>
      </c>
      <c r="K12" s="78" t="s">
        <v>534</v>
      </c>
      <c r="L12" s="78" t="s">
        <v>534</v>
      </c>
      <c r="M12" s="260" t="s">
        <v>534</v>
      </c>
      <c r="N12" s="260" t="s">
        <v>535</v>
      </c>
      <c r="O12" s="78" t="s">
        <v>535</v>
      </c>
      <c r="P12" s="78" t="s">
        <v>535</v>
      </c>
      <c r="Q12" s="78" t="s">
        <v>535</v>
      </c>
      <c r="R12" s="78" t="s">
        <v>535</v>
      </c>
      <c r="S12" s="78" t="s">
        <v>536</v>
      </c>
      <c r="T12" s="78" t="s">
        <v>536</v>
      </c>
      <c r="U12" s="78" t="s">
        <v>536</v>
      </c>
      <c r="V12" s="78" t="s">
        <v>536</v>
      </c>
      <c r="W12" s="78" t="s">
        <v>536</v>
      </c>
      <c r="X12" s="78" t="s">
        <v>536</v>
      </c>
      <c r="Y12" s="78" t="s">
        <v>536</v>
      </c>
      <c r="Z12" s="78" t="s">
        <v>536</v>
      </c>
      <c r="AA12" s="78" t="s">
        <v>536</v>
      </c>
    </row>
    <row r="13" spans="1:27" ht="16" x14ac:dyDescent="0.2">
      <c r="B13" s="234">
        <v>84016681</v>
      </c>
      <c r="C13" t="s">
        <v>437</v>
      </c>
      <c r="D13" s="251">
        <v>5.4</v>
      </c>
      <c r="F13" s="261">
        <v>10</v>
      </c>
      <c r="G13" s="78" t="s">
        <v>533</v>
      </c>
      <c r="H13" s="78" t="s">
        <v>533</v>
      </c>
      <c r="I13" s="78" t="s">
        <v>534</v>
      </c>
      <c r="J13" s="78" t="s">
        <v>534</v>
      </c>
      <c r="K13" s="78" t="s">
        <v>534</v>
      </c>
      <c r="L13" s="78" t="s">
        <v>534</v>
      </c>
      <c r="M13" s="260" t="s">
        <v>535</v>
      </c>
      <c r="N13" s="260" t="s">
        <v>535</v>
      </c>
      <c r="O13" s="260" t="s">
        <v>535</v>
      </c>
      <c r="P13" s="260" t="s">
        <v>535</v>
      </c>
      <c r="Q13" s="78" t="s">
        <v>536</v>
      </c>
      <c r="R13" s="78" t="s">
        <v>536</v>
      </c>
      <c r="S13" s="78" t="s">
        <v>536</v>
      </c>
      <c r="T13" s="78" t="s">
        <v>536</v>
      </c>
      <c r="U13" s="78" t="s">
        <v>536</v>
      </c>
      <c r="V13" s="78" t="s">
        <v>536</v>
      </c>
      <c r="W13" s="78" t="s">
        <v>536</v>
      </c>
      <c r="X13" s="78" t="s">
        <v>536</v>
      </c>
      <c r="Y13" s="78" t="s">
        <v>536</v>
      </c>
      <c r="Z13" s="24" t="s">
        <v>545</v>
      </c>
      <c r="AA13" s="265" t="s">
        <v>545</v>
      </c>
    </row>
    <row r="14" spans="1:27" ht="16" x14ac:dyDescent="0.2">
      <c r="B14" s="241">
        <v>84028401</v>
      </c>
      <c r="C14" t="s">
        <v>438</v>
      </c>
      <c r="D14" s="251">
        <v>0.56000000000000005</v>
      </c>
      <c r="F14" s="261">
        <v>11</v>
      </c>
      <c r="G14" s="78" t="s">
        <v>533</v>
      </c>
      <c r="H14" s="78" t="s">
        <v>534</v>
      </c>
      <c r="I14" s="78" t="s">
        <v>534</v>
      </c>
      <c r="J14" s="78" t="s">
        <v>534</v>
      </c>
      <c r="K14" s="78" t="s">
        <v>534</v>
      </c>
      <c r="L14" s="78" t="s">
        <v>534</v>
      </c>
      <c r="M14" s="260" t="s">
        <v>535</v>
      </c>
      <c r="N14" s="260" t="s">
        <v>535</v>
      </c>
      <c r="O14" s="260" t="s">
        <v>535</v>
      </c>
      <c r="P14" s="78" t="s">
        <v>536</v>
      </c>
      <c r="Q14" s="78" t="s">
        <v>536</v>
      </c>
      <c r="R14" s="78" t="s">
        <v>536</v>
      </c>
      <c r="S14" s="78" t="s">
        <v>536</v>
      </c>
      <c r="T14" s="78" t="s">
        <v>536</v>
      </c>
      <c r="U14" s="78" t="s">
        <v>536</v>
      </c>
      <c r="V14" s="78" t="s">
        <v>536</v>
      </c>
      <c r="W14" s="78" t="s">
        <v>536</v>
      </c>
      <c r="X14" s="24" t="s">
        <v>545</v>
      </c>
      <c r="Y14" s="24" t="s">
        <v>545</v>
      </c>
      <c r="Z14" s="24" t="s">
        <v>545</v>
      </c>
      <c r="AA14" s="24" t="s">
        <v>545</v>
      </c>
    </row>
    <row r="15" spans="1:27" ht="16" x14ac:dyDescent="0.2">
      <c r="B15" s="241">
        <v>84035197</v>
      </c>
      <c r="C15" t="s">
        <v>439</v>
      </c>
      <c r="D15" s="251">
        <v>0.30299999999999999</v>
      </c>
      <c r="F15" s="261">
        <v>12</v>
      </c>
      <c r="G15" s="78" t="s">
        <v>533</v>
      </c>
      <c r="H15" s="78" t="s">
        <v>534</v>
      </c>
      <c r="I15" s="78" t="s">
        <v>534</v>
      </c>
      <c r="J15" s="78" t="s">
        <v>534</v>
      </c>
      <c r="K15" s="78" t="s">
        <v>534</v>
      </c>
      <c r="L15" s="78" t="s">
        <v>535</v>
      </c>
      <c r="M15" s="78" t="s">
        <v>535</v>
      </c>
      <c r="N15" s="78" t="s">
        <v>535</v>
      </c>
      <c r="O15" s="260" t="s">
        <v>536</v>
      </c>
      <c r="P15" s="260" t="s">
        <v>536</v>
      </c>
      <c r="Q15" s="260" t="s">
        <v>536</v>
      </c>
      <c r="R15" s="260" t="s">
        <v>536</v>
      </c>
      <c r="S15" s="260" t="s">
        <v>536</v>
      </c>
      <c r="T15" s="260" t="s">
        <v>536</v>
      </c>
      <c r="U15" s="260" t="s">
        <v>536</v>
      </c>
      <c r="V15" s="24" t="s">
        <v>545</v>
      </c>
      <c r="W15" s="24" t="s">
        <v>545</v>
      </c>
      <c r="X15" s="24" t="s">
        <v>545</v>
      </c>
      <c r="Y15" s="24" t="s">
        <v>545</v>
      </c>
      <c r="Z15" s="24" t="s">
        <v>545</v>
      </c>
      <c r="AA15" s="24" t="s">
        <v>545</v>
      </c>
    </row>
    <row r="16" spans="1:27" ht="16" x14ac:dyDescent="0.2">
      <c r="B16" s="235">
        <v>84035235</v>
      </c>
      <c r="C16" t="s">
        <v>440</v>
      </c>
      <c r="D16" s="251">
        <v>0.27</v>
      </c>
      <c r="F16" s="261">
        <v>13</v>
      </c>
      <c r="G16" s="78" t="s">
        <v>534</v>
      </c>
      <c r="H16" s="78" t="s">
        <v>534</v>
      </c>
      <c r="I16" s="78" t="s">
        <v>534</v>
      </c>
      <c r="J16" s="78" t="s">
        <v>534</v>
      </c>
      <c r="K16" s="78" t="s">
        <v>534</v>
      </c>
      <c r="L16" s="78" t="s">
        <v>535</v>
      </c>
      <c r="M16" s="260" t="s">
        <v>535</v>
      </c>
      <c r="N16" s="260" t="s">
        <v>536</v>
      </c>
      <c r="O16" s="260" t="s">
        <v>536</v>
      </c>
      <c r="P16" s="260" t="s">
        <v>536</v>
      </c>
      <c r="Q16" s="260" t="s">
        <v>536</v>
      </c>
      <c r="R16" s="260" t="s">
        <v>536</v>
      </c>
      <c r="S16" s="260" t="s">
        <v>536</v>
      </c>
      <c r="T16" s="24" t="s">
        <v>545</v>
      </c>
      <c r="U16" s="24" t="s">
        <v>545</v>
      </c>
      <c r="V16" s="24" t="s">
        <v>545</v>
      </c>
      <c r="W16" s="24" t="s">
        <v>545</v>
      </c>
      <c r="X16" s="24" t="s">
        <v>545</v>
      </c>
      <c r="Y16" s="24" t="s">
        <v>545</v>
      </c>
      <c r="Z16" s="24" t="s">
        <v>545</v>
      </c>
      <c r="AA16" s="24" t="s">
        <v>545</v>
      </c>
    </row>
    <row r="17" spans="2:27" ht="16" x14ac:dyDescent="0.2">
      <c r="B17" s="235">
        <v>84035236</v>
      </c>
      <c r="C17" t="s">
        <v>441</v>
      </c>
      <c r="D17" s="251">
        <v>0.62</v>
      </c>
      <c r="F17" s="261">
        <v>14</v>
      </c>
      <c r="G17" s="78" t="s">
        <v>534</v>
      </c>
      <c r="H17" s="78" t="s">
        <v>534</v>
      </c>
      <c r="I17" s="78" t="s">
        <v>534</v>
      </c>
      <c r="J17" s="78" t="s">
        <v>534</v>
      </c>
      <c r="K17" s="78" t="s">
        <v>534</v>
      </c>
      <c r="L17" s="78" t="s">
        <v>535</v>
      </c>
      <c r="M17" s="260" t="s">
        <v>535</v>
      </c>
      <c r="N17" s="260" t="s">
        <v>536</v>
      </c>
      <c r="O17" s="260" t="s">
        <v>536</v>
      </c>
      <c r="P17" s="260" t="s">
        <v>536</v>
      </c>
      <c r="Q17" s="260" t="s">
        <v>536</v>
      </c>
      <c r="R17" s="78" t="s">
        <v>545</v>
      </c>
      <c r="S17" s="78" t="s">
        <v>545</v>
      </c>
      <c r="T17" s="78" t="s">
        <v>545</v>
      </c>
      <c r="U17" s="78" t="s">
        <v>545</v>
      </c>
      <c r="V17" s="78" t="s">
        <v>545</v>
      </c>
      <c r="W17" s="78" t="s">
        <v>545</v>
      </c>
      <c r="X17" s="78" t="s">
        <v>545</v>
      </c>
      <c r="Y17" s="78" t="s">
        <v>545</v>
      </c>
      <c r="Z17" s="78" t="s">
        <v>545</v>
      </c>
      <c r="AA17" s="24" t="s">
        <v>545</v>
      </c>
    </row>
    <row r="18" spans="2:27" ht="16" x14ac:dyDescent="0.2">
      <c r="B18" s="235">
        <v>84036330</v>
      </c>
      <c r="C18" t="s">
        <v>442</v>
      </c>
      <c r="D18" s="251">
        <v>1.54</v>
      </c>
      <c r="F18" s="261">
        <v>15</v>
      </c>
      <c r="G18" s="78" t="s">
        <v>534</v>
      </c>
      <c r="H18" s="78" t="s">
        <v>534</v>
      </c>
      <c r="I18" s="78" t="s">
        <v>534</v>
      </c>
      <c r="J18" s="78" t="s">
        <v>534</v>
      </c>
      <c r="K18" s="78" t="s">
        <v>535</v>
      </c>
      <c r="L18" s="78" t="s">
        <v>535</v>
      </c>
      <c r="M18" s="260" t="s">
        <v>536</v>
      </c>
      <c r="N18" s="260" t="s">
        <v>536</v>
      </c>
      <c r="O18" s="260" t="s">
        <v>536</v>
      </c>
      <c r="P18" s="260" t="s">
        <v>536</v>
      </c>
      <c r="Q18" s="78" t="s">
        <v>545</v>
      </c>
      <c r="R18" s="78" t="s">
        <v>545</v>
      </c>
      <c r="S18" s="78" t="s">
        <v>545</v>
      </c>
      <c r="T18" s="78" t="s">
        <v>545</v>
      </c>
      <c r="U18" s="78" t="s">
        <v>545</v>
      </c>
      <c r="V18" s="78" t="s">
        <v>545</v>
      </c>
      <c r="W18" s="78" t="s">
        <v>545</v>
      </c>
      <c r="X18" s="78" t="s">
        <v>545</v>
      </c>
      <c r="Y18" s="78" t="s">
        <v>545</v>
      </c>
      <c r="Z18" s="78" t="s">
        <v>545</v>
      </c>
      <c r="AA18" s="24" t="s">
        <v>545</v>
      </c>
    </row>
    <row r="19" spans="2:27" ht="16" x14ac:dyDescent="0.2">
      <c r="B19" s="235">
        <v>84036332</v>
      </c>
      <c r="C19" t="s">
        <v>443</v>
      </c>
      <c r="D19" s="251">
        <v>1.73</v>
      </c>
      <c r="F19" s="261">
        <v>16</v>
      </c>
      <c r="G19" s="78" t="s">
        <v>534</v>
      </c>
      <c r="H19" s="78" t="s">
        <v>534</v>
      </c>
      <c r="I19" s="78" t="s">
        <v>534</v>
      </c>
      <c r="J19" s="78" t="s">
        <v>534</v>
      </c>
      <c r="K19" s="78" t="s">
        <v>535</v>
      </c>
      <c r="L19" s="78" t="s">
        <v>535</v>
      </c>
      <c r="M19" s="260" t="s">
        <v>536</v>
      </c>
      <c r="N19" s="260" t="s">
        <v>536</v>
      </c>
      <c r="O19" s="260" t="s">
        <v>536</v>
      </c>
      <c r="P19" s="78" t="s">
        <v>545</v>
      </c>
      <c r="Q19" s="78" t="s">
        <v>545</v>
      </c>
      <c r="R19" s="78" t="s">
        <v>545</v>
      </c>
      <c r="S19" s="78" t="s">
        <v>545</v>
      </c>
      <c r="T19" s="78" t="s">
        <v>545</v>
      </c>
      <c r="U19" s="78" t="s">
        <v>545</v>
      </c>
      <c r="V19" s="78" t="s">
        <v>545</v>
      </c>
      <c r="W19" s="78" t="s">
        <v>545</v>
      </c>
      <c r="X19" s="78" t="s">
        <v>545</v>
      </c>
      <c r="Y19" s="78" t="s">
        <v>545</v>
      </c>
      <c r="Z19" s="78" t="s">
        <v>545</v>
      </c>
      <c r="AA19" s="24" t="s">
        <v>545</v>
      </c>
    </row>
    <row r="20" spans="2:27" ht="16" x14ac:dyDescent="0.2">
      <c r="B20" s="235">
        <v>84036334</v>
      </c>
      <c r="C20" t="s">
        <v>444</v>
      </c>
      <c r="D20" s="251">
        <v>0.22</v>
      </c>
      <c r="E20" s="1"/>
      <c r="F20" s="261">
        <v>17</v>
      </c>
      <c r="G20" s="78" t="s">
        <v>534</v>
      </c>
      <c r="H20" s="78" t="s">
        <v>534</v>
      </c>
      <c r="I20" s="78" t="s">
        <v>534</v>
      </c>
      <c r="J20" s="78" t="s">
        <v>534</v>
      </c>
      <c r="K20" s="78" t="s">
        <v>535</v>
      </c>
      <c r="L20" s="260" t="s">
        <v>536</v>
      </c>
      <c r="M20" s="260" t="s">
        <v>536</v>
      </c>
      <c r="N20" s="260" t="s">
        <v>536</v>
      </c>
      <c r="O20" s="260" t="s">
        <v>536</v>
      </c>
      <c r="P20" s="78" t="s">
        <v>545</v>
      </c>
      <c r="Q20" s="78" t="s">
        <v>545</v>
      </c>
      <c r="R20" s="78" t="s">
        <v>545</v>
      </c>
      <c r="S20" s="78" t="s">
        <v>545</v>
      </c>
      <c r="T20" s="78" t="s">
        <v>545</v>
      </c>
      <c r="U20" s="78" t="s">
        <v>545</v>
      </c>
      <c r="V20" s="78" t="s">
        <v>545</v>
      </c>
      <c r="W20" s="78" t="s">
        <v>545</v>
      </c>
      <c r="X20" s="78" t="s">
        <v>545</v>
      </c>
      <c r="Y20" s="78" t="s">
        <v>545</v>
      </c>
      <c r="Z20" s="78" t="s">
        <v>545</v>
      </c>
      <c r="AA20" s="24" t="s">
        <v>545</v>
      </c>
    </row>
    <row r="21" spans="2:27" ht="16" x14ac:dyDescent="0.2">
      <c r="B21" s="234">
        <v>84053711</v>
      </c>
      <c r="C21" t="s">
        <v>445</v>
      </c>
      <c r="D21" s="251">
        <v>5.4</v>
      </c>
      <c r="E21" s="1"/>
      <c r="F21" s="261">
        <v>18</v>
      </c>
      <c r="G21" s="78" t="s">
        <v>534</v>
      </c>
      <c r="H21" s="78" t="s">
        <v>534</v>
      </c>
      <c r="I21" s="78" t="s">
        <v>534</v>
      </c>
      <c r="J21" s="78" t="s">
        <v>534</v>
      </c>
      <c r="K21" s="78" t="s">
        <v>535</v>
      </c>
      <c r="L21" s="260" t="s">
        <v>536</v>
      </c>
      <c r="M21" s="260" t="s">
        <v>536</v>
      </c>
      <c r="N21" s="260" t="s">
        <v>536</v>
      </c>
      <c r="O21" s="78" t="s">
        <v>545</v>
      </c>
      <c r="P21" s="78" t="s">
        <v>545</v>
      </c>
      <c r="Q21" s="78" t="s">
        <v>545</v>
      </c>
      <c r="R21" s="78" t="s">
        <v>545</v>
      </c>
      <c r="S21" s="78" t="s">
        <v>545</v>
      </c>
      <c r="T21" s="78" t="s">
        <v>545</v>
      </c>
      <c r="U21" s="78" t="s">
        <v>545</v>
      </c>
      <c r="V21" s="78" t="s">
        <v>545</v>
      </c>
      <c r="W21" s="78" t="s">
        <v>545</v>
      </c>
      <c r="X21" s="78" t="s">
        <v>545</v>
      </c>
      <c r="Y21" s="78" t="s">
        <v>545</v>
      </c>
      <c r="Z21" s="78" t="s">
        <v>545</v>
      </c>
      <c r="AA21" s="24" t="s">
        <v>545</v>
      </c>
    </row>
    <row r="22" spans="2:27" ht="16" x14ac:dyDescent="0.2">
      <c r="B22" s="234">
        <v>84053884</v>
      </c>
      <c r="C22" t="s">
        <v>446</v>
      </c>
      <c r="D22" s="251">
        <v>2.004</v>
      </c>
      <c r="E22" s="1"/>
      <c r="F22" s="261">
        <v>19</v>
      </c>
      <c r="G22" s="78" t="s">
        <v>535</v>
      </c>
      <c r="H22" s="78" t="s">
        <v>535</v>
      </c>
      <c r="I22" s="78" t="s">
        <v>535</v>
      </c>
      <c r="J22" s="78" t="s">
        <v>535</v>
      </c>
      <c r="K22" s="78" t="s">
        <v>535</v>
      </c>
      <c r="L22" s="78" t="s">
        <v>536</v>
      </c>
      <c r="M22" s="260" t="s">
        <v>536</v>
      </c>
      <c r="N22" s="24" t="s">
        <v>545</v>
      </c>
      <c r="O22" s="78" t="s">
        <v>545</v>
      </c>
      <c r="P22" s="78" t="s">
        <v>545</v>
      </c>
      <c r="Q22" s="78" t="s">
        <v>545</v>
      </c>
      <c r="R22" s="78" t="s">
        <v>545</v>
      </c>
      <c r="S22" s="78" t="s">
        <v>545</v>
      </c>
      <c r="T22" s="78" t="s">
        <v>545</v>
      </c>
      <c r="U22" s="78" t="s">
        <v>545</v>
      </c>
      <c r="V22" s="78" t="s">
        <v>545</v>
      </c>
      <c r="W22" s="78" t="s">
        <v>545</v>
      </c>
      <c r="X22" s="78" t="s">
        <v>545</v>
      </c>
      <c r="Y22" s="78" t="s">
        <v>545</v>
      </c>
      <c r="Z22" s="78" t="s">
        <v>545</v>
      </c>
      <c r="AA22" s="24" t="s">
        <v>545</v>
      </c>
    </row>
    <row r="23" spans="2:27" ht="16" x14ac:dyDescent="0.2">
      <c r="B23" s="234">
        <v>84053885</v>
      </c>
      <c r="C23" t="s">
        <v>447</v>
      </c>
      <c r="D23" s="251">
        <v>3.39</v>
      </c>
      <c r="E23" s="1"/>
      <c r="F23" s="261">
        <v>20</v>
      </c>
      <c r="G23" s="78" t="s">
        <v>535</v>
      </c>
      <c r="H23" s="78" t="s">
        <v>535</v>
      </c>
      <c r="I23" s="78" t="s">
        <v>535</v>
      </c>
      <c r="J23" s="78" t="s">
        <v>535</v>
      </c>
      <c r="K23" s="78" t="s">
        <v>535</v>
      </c>
      <c r="L23" s="78" t="s">
        <v>536</v>
      </c>
      <c r="M23" s="260" t="s">
        <v>536</v>
      </c>
      <c r="N23" s="24" t="s">
        <v>545</v>
      </c>
      <c r="O23" s="78" t="s">
        <v>545</v>
      </c>
      <c r="P23" s="78" t="s">
        <v>545</v>
      </c>
      <c r="Q23" s="78" t="s">
        <v>545</v>
      </c>
      <c r="R23" s="78" t="s">
        <v>545</v>
      </c>
      <c r="S23" s="78" t="s">
        <v>545</v>
      </c>
      <c r="T23" s="78" t="s">
        <v>545</v>
      </c>
      <c r="U23" s="78" t="s">
        <v>545</v>
      </c>
      <c r="V23" s="78" t="s">
        <v>545</v>
      </c>
      <c r="W23" s="78" t="s">
        <v>545</v>
      </c>
      <c r="X23" s="78" t="s">
        <v>545</v>
      </c>
      <c r="Y23" s="78" t="s">
        <v>545</v>
      </c>
      <c r="Z23" s="78" t="s">
        <v>545</v>
      </c>
      <c r="AA23" s="24" t="s">
        <v>545</v>
      </c>
    </row>
    <row r="24" spans="2:27" ht="16" x14ac:dyDescent="0.2">
      <c r="B24" s="242">
        <v>84058875</v>
      </c>
      <c r="C24" t="s">
        <v>448</v>
      </c>
      <c r="D24" s="251">
        <v>0.69</v>
      </c>
      <c r="F24" s="261">
        <v>21</v>
      </c>
      <c r="G24" s="78" t="s">
        <v>535</v>
      </c>
      <c r="H24" s="78" t="s">
        <v>535</v>
      </c>
      <c r="I24" s="78" t="s">
        <v>535</v>
      </c>
      <c r="J24" s="78" t="s">
        <v>535</v>
      </c>
      <c r="K24" s="78" t="s">
        <v>536</v>
      </c>
      <c r="L24" s="78" t="s">
        <v>536</v>
      </c>
      <c r="M24" s="260" t="s">
        <v>536</v>
      </c>
      <c r="N24" s="24" t="s">
        <v>545</v>
      </c>
      <c r="O24" s="78" t="s">
        <v>545</v>
      </c>
      <c r="P24" s="78" t="s">
        <v>545</v>
      </c>
      <c r="Q24" s="78" t="s">
        <v>545</v>
      </c>
      <c r="R24" s="78" t="s">
        <v>545</v>
      </c>
      <c r="S24" s="78" t="s">
        <v>545</v>
      </c>
      <c r="T24" s="78" t="s">
        <v>545</v>
      </c>
      <c r="U24" s="78" t="s">
        <v>545</v>
      </c>
      <c r="V24" s="78" t="s">
        <v>545</v>
      </c>
      <c r="W24" s="78" t="s">
        <v>545</v>
      </c>
      <c r="X24" s="78" t="s">
        <v>545</v>
      </c>
      <c r="Y24" s="78" t="s">
        <v>545</v>
      </c>
      <c r="Z24" s="78" t="s">
        <v>545</v>
      </c>
      <c r="AA24" s="24" t="s">
        <v>545</v>
      </c>
    </row>
    <row r="25" spans="2:27" ht="16" x14ac:dyDescent="0.2">
      <c r="B25" s="242">
        <v>84058876</v>
      </c>
      <c r="C25" t="s">
        <v>449</v>
      </c>
      <c r="D25" s="251">
        <v>0.81</v>
      </c>
      <c r="F25" s="261">
        <v>22</v>
      </c>
      <c r="G25" s="78" t="s">
        <v>535</v>
      </c>
      <c r="H25" s="78" t="s">
        <v>535</v>
      </c>
      <c r="I25" s="78" t="s">
        <v>535</v>
      </c>
      <c r="J25" s="78" t="s">
        <v>535</v>
      </c>
      <c r="K25" s="78" t="s">
        <v>536</v>
      </c>
      <c r="L25" s="78" t="s">
        <v>536</v>
      </c>
      <c r="M25" s="266" t="s">
        <v>545</v>
      </c>
      <c r="N25" s="24" t="s">
        <v>545</v>
      </c>
      <c r="O25" s="78" t="s">
        <v>545</v>
      </c>
      <c r="P25" s="78" t="s">
        <v>545</v>
      </c>
      <c r="Q25" s="78" t="s">
        <v>545</v>
      </c>
      <c r="R25" s="78" t="s">
        <v>545</v>
      </c>
      <c r="S25" s="78" t="s">
        <v>545</v>
      </c>
      <c r="T25" s="78" t="s">
        <v>545</v>
      </c>
      <c r="U25" s="78" t="s">
        <v>545</v>
      </c>
      <c r="V25" s="78" t="s">
        <v>545</v>
      </c>
      <c r="W25" s="78" t="s">
        <v>545</v>
      </c>
      <c r="X25" s="78" t="s">
        <v>545</v>
      </c>
      <c r="Y25" s="78" t="s">
        <v>545</v>
      </c>
      <c r="Z25" s="78" t="s">
        <v>545</v>
      </c>
      <c r="AA25" s="24" t="s">
        <v>545</v>
      </c>
    </row>
    <row r="26" spans="2:27" x14ac:dyDescent="0.2">
      <c r="B26" s="242">
        <v>84058877</v>
      </c>
      <c r="C26" t="s">
        <v>450</v>
      </c>
      <c r="D26" s="251">
        <v>0.94</v>
      </c>
      <c r="F26" s="261">
        <v>23</v>
      </c>
      <c r="G26" s="78" t="s">
        <v>535</v>
      </c>
      <c r="H26" s="78" t="s">
        <v>535</v>
      </c>
      <c r="I26" s="78" t="s">
        <v>535</v>
      </c>
      <c r="J26" s="78" t="s">
        <v>535</v>
      </c>
      <c r="K26" s="78" t="s">
        <v>536</v>
      </c>
      <c r="L26" s="78" t="s">
        <v>536</v>
      </c>
      <c r="M26" s="72" t="s">
        <v>545</v>
      </c>
      <c r="N26" s="24" t="s">
        <v>545</v>
      </c>
      <c r="O26" s="78" t="s">
        <v>545</v>
      </c>
      <c r="P26" s="78" t="s">
        <v>545</v>
      </c>
      <c r="Q26" s="78" t="s">
        <v>545</v>
      </c>
      <c r="R26" s="78" t="s">
        <v>545</v>
      </c>
      <c r="S26" s="78" t="s">
        <v>545</v>
      </c>
      <c r="T26" s="78" t="s">
        <v>545</v>
      </c>
      <c r="U26" s="78" t="s">
        <v>545</v>
      </c>
      <c r="V26" s="78" t="s">
        <v>545</v>
      </c>
      <c r="W26" s="78" t="s">
        <v>545</v>
      </c>
      <c r="X26" s="78" t="s">
        <v>545</v>
      </c>
      <c r="Y26" s="78" t="s">
        <v>545</v>
      </c>
      <c r="Z26" s="78" t="s">
        <v>545</v>
      </c>
      <c r="AA26" s="24" t="s">
        <v>545</v>
      </c>
    </row>
    <row r="27" spans="2:27" x14ac:dyDescent="0.2">
      <c r="B27" s="242">
        <v>84058878</v>
      </c>
      <c r="C27" t="s">
        <v>451</v>
      </c>
      <c r="D27" s="251">
        <v>1.222</v>
      </c>
      <c r="F27" s="261">
        <v>24</v>
      </c>
      <c r="G27" s="78" t="s">
        <v>536</v>
      </c>
      <c r="H27" s="78" t="s">
        <v>536</v>
      </c>
      <c r="I27" s="78" t="s">
        <v>536</v>
      </c>
      <c r="J27" s="78" t="s">
        <v>536</v>
      </c>
      <c r="K27" s="78" t="s">
        <v>536</v>
      </c>
      <c r="L27" s="78" t="s">
        <v>536</v>
      </c>
      <c r="M27" s="72" t="s">
        <v>545</v>
      </c>
      <c r="N27" s="24" t="s">
        <v>545</v>
      </c>
      <c r="O27" s="78" t="s">
        <v>545</v>
      </c>
      <c r="P27" s="78" t="s">
        <v>545</v>
      </c>
      <c r="Q27" s="78" t="s">
        <v>545</v>
      </c>
      <c r="R27" s="78" t="s">
        <v>545</v>
      </c>
      <c r="S27" s="78" t="s">
        <v>545</v>
      </c>
      <c r="T27" s="78" t="s">
        <v>545</v>
      </c>
      <c r="U27" s="78" t="s">
        <v>545</v>
      </c>
      <c r="V27" s="78" t="s">
        <v>545</v>
      </c>
      <c r="W27" s="78" t="s">
        <v>545</v>
      </c>
      <c r="X27" s="78" t="s">
        <v>545</v>
      </c>
      <c r="Y27" s="78" t="s">
        <v>545</v>
      </c>
      <c r="Z27" s="78" t="s">
        <v>545</v>
      </c>
      <c r="AA27" s="24" t="s">
        <v>545</v>
      </c>
    </row>
    <row r="28" spans="2:27" x14ac:dyDescent="0.2">
      <c r="B28" s="242">
        <v>84058879</v>
      </c>
      <c r="C28" t="s">
        <v>452</v>
      </c>
      <c r="D28" s="251">
        <v>1.55</v>
      </c>
    </row>
    <row r="29" spans="2:27" x14ac:dyDescent="0.2">
      <c r="B29" s="242">
        <v>84058880</v>
      </c>
      <c r="C29" t="s">
        <v>453</v>
      </c>
      <c r="D29" s="251">
        <v>1.7230000000000001</v>
      </c>
    </row>
    <row r="30" spans="2:27" x14ac:dyDescent="0.2">
      <c r="B30" s="234">
        <v>84058896</v>
      </c>
      <c r="C30" t="s">
        <v>454</v>
      </c>
      <c r="D30" s="251">
        <v>2.004</v>
      </c>
    </row>
    <row r="31" spans="2:27" x14ac:dyDescent="0.2">
      <c r="B31" s="234">
        <v>84058897</v>
      </c>
      <c r="C31" t="s">
        <v>455</v>
      </c>
      <c r="D31" s="251">
        <v>2.4300000000000002</v>
      </c>
      <c r="F31" s="24" t="s">
        <v>537</v>
      </c>
      <c r="G31" s="24" t="s">
        <v>538</v>
      </c>
    </row>
    <row r="32" spans="2:27" x14ac:dyDescent="0.2">
      <c r="B32" s="234">
        <v>84058898</v>
      </c>
      <c r="C32" t="s">
        <v>456</v>
      </c>
      <c r="D32" s="251">
        <v>3.39</v>
      </c>
      <c r="F32" s="24" t="s">
        <v>533</v>
      </c>
      <c r="G32" s="24" t="s">
        <v>540</v>
      </c>
    </row>
    <row r="33" spans="2:7" x14ac:dyDescent="0.2">
      <c r="B33" s="234">
        <v>84058899</v>
      </c>
      <c r="C33" t="s">
        <v>457</v>
      </c>
      <c r="D33" s="251">
        <v>3.93</v>
      </c>
      <c r="F33" s="24" t="s">
        <v>534</v>
      </c>
      <c r="G33" s="24" t="s">
        <v>541</v>
      </c>
    </row>
    <row r="34" spans="2:7" x14ac:dyDescent="0.2">
      <c r="B34" s="234">
        <v>84058900</v>
      </c>
      <c r="C34" t="s">
        <v>458</v>
      </c>
      <c r="D34" s="251">
        <v>5.7930000000000001</v>
      </c>
      <c r="F34" s="24" t="s">
        <v>535</v>
      </c>
      <c r="G34" s="24" t="s">
        <v>542</v>
      </c>
    </row>
    <row r="35" spans="2:7" x14ac:dyDescent="0.2">
      <c r="B35" s="241">
        <v>84058911</v>
      </c>
      <c r="C35" t="s">
        <v>459</v>
      </c>
      <c r="D35" s="251">
        <v>0.22</v>
      </c>
      <c r="F35" s="24" t="s">
        <v>536</v>
      </c>
      <c r="G35" s="24" t="s">
        <v>543</v>
      </c>
    </row>
    <row r="36" spans="2:7" x14ac:dyDescent="0.2">
      <c r="B36" s="241">
        <v>84058913</v>
      </c>
      <c r="C36" t="s">
        <v>460</v>
      </c>
      <c r="D36" s="251">
        <v>0.4</v>
      </c>
      <c r="F36" s="24" t="s">
        <v>545</v>
      </c>
      <c r="G36" s="24" t="str">
        <f>Language!$B$59</f>
        <v>For dimensions, please contact Manitowoc</v>
      </c>
    </row>
    <row r="37" spans="2:7" x14ac:dyDescent="0.2">
      <c r="B37" s="241">
        <v>84058914</v>
      </c>
      <c r="C37" t="s">
        <v>461</v>
      </c>
      <c r="D37" s="251">
        <v>0.49</v>
      </c>
    </row>
    <row r="38" spans="2:7" x14ac:dyDescent="0.2">
      <c r="B38" s="241">
        <v>84058916</v>
      </c>
      <c r="C38" t="s">
        <v>462</v>
      </c>
      <c r="D38" s="251">
        <v>0.71</v>
      </c>
    </row>
    <row r="39" spans="2:7" x14ac:dyDescent="0.2">
      <c r="B39" s="235">
        <v>84077539</v>
      </c>
      <c r="C39" t="s">
        <v>463</v>
      </c>
      <c r="D39" s="251">
        <v>0</v>
      </c>
    </row>
    <row r="40" spans="2:7" x14ac:dyDescent="0.2">
      <c r="B40" s="235">
        <v>84077540</v>
      </c>
      <c r="C40" t="s">
        <v>464</v>
      </c>
      <c r="D40" s="251">
        <v>0.21</v>
      </c>
    </row>
    <row r="41" spans="2:7" x14ac:dyDescent="0.2">
      <c r="B41" s="235">
        <v>84077541</v>
      </c>
      <c r="C41" t="s">
        <v>465</v>
      </c>
      <c r="D41" s="251">
        <v>0.27</v>
      </c>
    </row>
    <row r="42" spans="2:7" x14ac:dyDescent="0.2">
      <c r="B42" s="235">
        <v>84077542</v>
      </c>
      <c r="C42" t="s">
        <v>466</v>
      </c>
      <c r="D42" s="251">
        <v>0.34</v>
      </c>
    </row>
    <row r="43" spans="2:7" x14ac:dyDescent="0.2">
      <c r="B43" s="235">
        <v>84058929</v>
      </c>
      <c r="C43" t="s">
        <v>741</v>
      </c>
      <c r="D43" s="251">
        <v>0.18</v>
      </c>
    </row>
    <row r="44" spans="2:7" x14ac:dyDescent="0.2">
      <c r="B44" s="233">
        <v>84077543</v>
      </c>
      <c r="C44" t="s">
        <v>467</v>
      </c>
      <c r="D44" s="251">
        <v>0.26</v>
      </c>
    </row>
    <row r="45" spans="2:7" x14ac:dyDescent="0.2">
      <c r="B45" s="233">
        <v>84077586</v>
      </c>
      <c r="C45" t="s">
        <v>468</v>
      </c>
      <c r="D45" s="251">
        <v>0.22</v>
      </c>
    </row>
    <row r="46" spans="2:7" x14ac:dyDescent="0.2">
      <c r="B46" s="233">
        <v>84081905</v>
      </c>
      <c r="C46" t="s">
        <v>469</v>
      </c>
      <c r="D46" s="251">
        <v>0.39</v>
      </c>
    </row>
    <row r="47" spans="2:7" x14ac:dyDescent="0.2">
      <c r="B47" s="235">
        <v>84111205</v>
      </c>
      <c r="C47" t="s">
        <v>470</v>
      </c>
      <c r="D47" s="251">
        <v>0</v>
      </c>
    </row>
    <row r="48" spans="2:7" x14ac:dyDescent="0.2">
      <c r="B48" s="233">
        <v>84111218</v>
      </c>
      <c r="C48" t="s">
        <v>471</v>
      </c>
      <c r="D48" s="251">
        <v>0</v>
      </c>
    </row>
    <row r="49" spans="2:4" x14ac:dyDescent="0.2">
      <c r="B49" s="243" t="s">
        <v>181</v>
      </c>
      <c r="C49" t="s">
        <v>472</v>
      </c>
      <c r="D49" s="251">
        <v>0.65</v>
      </c>
    </row>
    <row r="50" spans="2:4" x14ac:dyDescent="0.2">
      <c r="B50" s="243" t="s">
        <v>182</v>
      </c>
      <c r="C50" t="s">
        <v>473</v>
      </c>
      <c r="D50" s="251">
        <v>0.76</v>
      </c>
    </row>
    <row r="51" spans="2:4" x14ac:dyDescent="0.2">
      <c r="B51" s="235" t="s">
        <v>185</v>
      </c>
      <c r="C51" t="s">
        <v>474</v>
      </c>
      <c r="D51" s="251">
        <v>0.18</v>
      </c>
    </row>
    <row r="52" spans="2:4" x14ac:dyDescent="0.2">
      <c r="B52" s="243" t="s">
        <v>179</v>
      </c>
      <c r="C52" t="s">
        <v>475</v>
      </c>
      <c r="D52" s="251">
        <v>1.1100000000000001</v>
      </c>
    </row>
    <row r="53" spans="2:4" x14ac:dyDescent="0.2">
      <c r="B53" s="244" t="s">
        <v>186</v>
      </c>
      <c r="C53" t="s">
        <v>476</v>
      </c>
      <c r="D53" s="251">
        <v>0.15</v>
      </c>
    </row>
    <row r="54" spans="2:4" x14ac:dyDescent="0.2">
      <c r="B54" s="244" t="s">
        <v>183</v>
      </c>
      <c r="C54" t="s">
        <v>477</v>
      </c>
      <c r="D54" s="251">
        <v>0.32</v>
      </c>
    </row>
    <row r="55" spans="2:4" x14ac:dyDescent="0.2">
      <c r="B55" s="243" t="s">
        <v>184</v>
      </c>
      <c r="C55" t="s">
        <v>478</v>
      </c>
      <c r="D55" s="251">
        <v>0.45</v>
      </c>
    </row>
    <row r="56" spans="2:4" x14ac:dyDescent="0.2">
      <c r="B56" s="346" t="s">
        <v>180</v>
      </c>
      <c r="C56" s="203" t="s">
        <v>479</v>
      </c>
      <c r="D56" s="343">
        <v>0.89</v>
      </c>
    </row>
    <row r="57" spans="2:4" x14ac:dyDescent="0.2">
      <c r="B57" s="203">
        <v>84112856</v>
      </c>
      <c r="C57" s="203" t="s">
        <v>602</v>
      </c>
      <c r="D57" s="343">
        <v>0</v>
      </c>
    </row>
    <row r="58" spans="2:4" x14ac:dyDescent="0.2">
      <c r="B58" s="203">
        <v>84112857</v>
      </c>
      <c r="C58" s="203" t="s">
        <v>603</v>
      </c>
      <c r="D58" s="343">
        <v>0</v>
      </c>
    </row>
    <row r="59" spans="2:4" x14ac:dyDescent="0.2">
      <c r="B59" s="203">
        <v>84058930</v>
      </c>
      <c r="C59" s="203" t="s">
        <v>601</v>
      </c>
      <c r="D59" s="343">
        <v>0.22</v>
      </c>
    </row>
    <row r="60" spans="2:4" x14ac:dyDescent="0.2">
      <c r="B60" s="203">
        <v>84058912</v>
      </c>
      <c r="C60" s="203" t="s">
        <v>439</v>
      </c>
      <c r="D60" s="343">
        <v>0.31</v>
      </c>
    </row>
    <row r="61" spans="2:4" x14ac:dyDescent="0.2">
      <c r="B61" s="203">
        <v>84058915</v>
      </c>
      <c r="C61" s="203" t="s">
        <v>438</v>
      </c>
      <c r="D61" s="343">
        <v>0.59</v>
      </c>
    </row>
    <row r="62" spans="2:4" x14ac:dyDescent="0.2">
      <c r="B62" s="203">
        <v>84058917</v>
      </c>
      <c r="C62" s="203" t="s">
        <v>599</v>
      </c>
      <c r="D62" s="343">
        <v>0.83</v>
      </c>
    </row>
    <row r="63" spans="2:4" x14ac:dyDescent="0.2">
      <c r="B63" s="203">
        <v>84058920</v>
      </c>
      <c r="C63" s="203" t="s">
        <v>600</v>
      </c>
      <c r="D63" s="343">
        <v>1.59</v>
      </c>
    </row>
    <row r="64" spans="2:4" x14ac:dyDescent="0.2">
      <c r="B64" s="203">
        <v>84058918</v>
      </c>
      <c r="C64" s="203" t="s">
        <v>557</v>
      </c>
      <c r="D64" s="343">
        <v>0.91</v>
      </c>
    </row>
    <row r="65" spans="1:5" x14ac:dyDescent="0.2">
      <c r="B65" s="203">
        <v>84058919</v>
      </c>
      <c r="C65" s="203" t="s">
        <v>663</v>
      </c>
      <c r="D65" s="343">
        <v>1.25</v>
      </c>
    </row>
    <row r="66" spans="1:5" x14ac:dyDescent="0.2">
      <c r="B66" s="203">
        <v>84058922</v>
      </c>
      <c r="C66" s="203" t="s">
        <v>680</v>
      </c>
      <c r="D66" s="343">
        <v>1.96</v>
      </c>
    </row>
    <row r="72" spans="1:5" x14ac:dyDescent="0.2">
      <c r="A72" t="s">
        <v>518</v>
      </c>
      <c r="B72" s="245">
        <v>84058952</v>
      </c>
      <c r="C72" t="s">
        <v>481</v>
      </c>
      <c r="D72" s="251">
        <v>0.74</v>
      </c>
    </row>
    <row r="73" spans="1:5" x14ac:dyDescent="0.2">
      <c r="B73" s="236">
        <v>84058954</v>
      </c>
      <c r="C73" t="s">
        <v>482</v>
      </c>
      <c r="D73" s="252">
        <v>1.01</v>
      </c>
    </row>
    <row r="74" spans="1:5" x14ac:dyDescent="0.2">
      <c r="B74" s="245">
        <v>84058971</v>
      </c>
      <c r="C74" s="237" t="s">
        <v>483</v>
      </c>
      <c r="D74" s="253">
        <v>0.12</v>
      </c>
      <c r="E74" s="237"/>
    </row>
    <row r="75" spans="1:5" x14ac:dyDescent="0.2">
      <c r="B75" s="245">
        <v>84058972</v>
      </c>
      <c r="C75" t="s">
        <v>484</v>
      </c>
      <c r="D75" s="254">
        <v>0.15</v>
      </c>
    </row>
    <row r="76" spans="1:5" x14ac:dyDescent="0.2">
      <c r="B76" s="245">
        <v>84058973</v>
      </c>
      <c r="C76" t="s">
        <v>485</v>
      </c>
      <c r="D76" s="254">
        <v>0.19</v>
      </c>
    </row>
    <row r="77" spans="1:5" x14ac:dyDescent="0.2">
      <c r="B77" s="245">
        <v>84058974</v>
      </c>
      <c r="C77" t="s">
        <v>486</v>
      </c>
      <c r="D77" s="254">
        <v>0.2</v>
      </c>
    </row>
    <row r="78" spans="1:5" x14ac:dyDescent="0.2">
      <c r="B78" s="236">
        <v>84058975</v>
      </c>
      <c r="C78" t="s">
        <v>487</v>
      </c>
      <c r="D78" s="254">
        <v>0.24</v>
      </c>
    </row>
    <row r="79" spans="1:5" x14ac:dyDescent="0.2">
      <c r="B79" s="245">
        <v>84058976</v>
      </c>
      <c r="C79" t="s">
        <v>488</v>
      </c>
      <c r="D79" s="253">
        <v>0.37</v>
      </c>
      <c r="E79" s="237"/>
    </row>
    <row r="80" spans="1:5" x14ac:dyDescent="0.2">
      <c r="B80" s="236">
        <v>84058977</v>
      </c>
      <c r="C80" t="s">
        <v>489</v>
      </c>
      <c r="D80" s="254">
        <v>0.35</v>
      </c>
    </row>
    <row r="81" spans="2:5" x14ac:dyDescent="0.2">
      <c r="B81" s="245">
        <v>84058978</v>
      </c>
      <c r="C81" t="s">
        <v>490</v>
      </c>
      <c r="D81" s="253">
        <v>0.51</v>
      </c>
      <c r="E81" s="237"/>
    </row>
    <row r="82" spans="2:5" x14ac:dyDescent="0.2">
      <c r="B82" s="245">
        <v>84058991</v>
      </c>
      <c r="C82" t="s">
        <v>491</v>
      </c>
      <c r="D82" s="253">
        <v>0.16</v>
      </c>
      <c r="E82" s="237"/>
    </row>
    <row r="83" spans="2:5" x14ac:dyDescent="0.2">
      <c r="B83" s="236">
        <v>84058992</v>
      </c>
      <c r="C83" t="s">
        <v>492</v>
      </c>
      <c r="D83" s="254">
        <v>0.19</v>
      </c>
    </row>
    <row r="84" spans="2:5" x14ac:dyDescent="0.2">
      <c r="B84" s="236">
        <v>84058993</v>
      </c>
      <c r="C84" s="239" t="s">
        <v>493</v>
      </c>
      <c r="D84" s="253">
        <v>0.26</v>
      </c>
    </row>
    <row r="85" spans="2:5" x14ac:dyDescent="0.2">
      <c r="B85" s="245">
        <v>84058994</v>
      </c>
      <c r="C85" s="239" t="s">
        <v>494</v>
      </c>
      <c r="D85" s="254">
        <v>0.3</v>
      </c>
    </row>
    <row r="86" spans="2:5" x14ac:dyDescent="0.2">
      <c r="B86" s="245">
        <v>84075178</v>
      </c>
      <c r="C86" t="s">
        <v>495</v>
      </c>
      <c r="D86" s="254">
        <v>0.13200000000000001</v>
      </c>
    </row>
    <row r="87" spans="2:5" x14ac:dyDescent="0.2">
      <c r="B87" s="250">
        <v>84075186</v>
      </c>
      <c r="C87" t="s">
        <v>496</v>
      </c>
      <c r="D87" s="254">
        <v>0.435</v>
      </c>
    </row>
    <row r="88" spans="2:5" x14ac:dyDescent="0.2">
      <c r="B88" s="248">
        <v>84075188</v>
      </c>
      <c r="C88" t="s">
        <v>497</v>
      </c>
      <c r="D88" s="254">
        <v>0.70599999999999996</v>
      </c>
    </row>
    <row r="89" spans="2:5" x14ac:dyDescent="0.2">
      <c r="B89" s="248">
        <v>84075189</v>
      </c>
      <c r="C89" t="s">
        <v>498</v>
      </c>
      <c r="D89" s="254">
        <v>0.12</v>
      </c>
    </row>
    <row r="90" spans="2:5" x14ac:dyDescent="0.2">
      <c r="B90" s="248">
        <v>84075190</v>
      </c>
      <c r="C90" s="239" t="s">
        <v>499</v>
      </c>
      <c r="D90" s="254">
        <v>0.15</v>
      </c>
    </row>
    <row r="91" spans="2:5" x14ac:dyDescent="0.2">
      <c r="B91" s="248">
        <v>84075191</v>
      </c>
      <c r="C91" s="239" t="s">
        <v>500</v>
      </c>
      <c r="D91" s="254">
        <v>0.19</v>
      </c>
    </row>
    <row r="92" spans="2:5" x14ac:dyDescent="0.2">
      <c r="B92" s="248">
        <v>84075192</v>
      </c>
      <c r="C92" s="239" t="s">
        <v>501</v>
      </c>
      <c r="D92" s="254">
        <v>0.26</v>
      </c>
    </row>
    <row r="93" spans="2:5" x14ac:dyDescent="0.2">
      <c r="B93" s="248">
        <v>84075193</v>
      </c>
      <c r="C93" s="239" t="s">
        <v>502</v>
      </c>
      <c r="D93" s="254">
        <v>0.24</v>
      </c>
    </row>
    <row r="94" spans="2:5" x14ac:dyDescent="0.2">
      <c r="B94" s="248">
        <v>84075194</v>
      </c>
      <c r="C94" s="255" t="s">
        <v>503</v>
      </c>
      <c r="D94" s="253">
        <v>0.3</v>
      </c>
      <c r="E94" s="237"/>
    </row>
    <row r="95" spans="2:5" x14ac:dyDescent="0.2">
      <c r="B95" s="248">
        <v>84075196</v>
      </c>
      <c r="C95" t="s">
        <v>504</v>
      </c>
      <c r="D95" s="254">
        <v>0.435</v>
      </c>
    </row>
    <row r="96" spans="2:5" x14ac:dyDescent="0.2">
      <c r="B96" s="248">
        <v>84075197</v>
      </c>
      <c r="C96" t="s">
        <v>505</v>
      </c>
      <c r="D96" s="254">
        <v>0.51</v>
      </c>
    </row>
    <row r="97" spans="1:5" x14ac:dyDescent="0.2">
      <c r="B97" s="248">
        <v>84075198</v>
      </c>
      <c r="C97" t="s">
        <v>506</v>
      </c>
      <c r="D97" s="254">
        <v>0.16</v>
      </c>
    </row>
    <row r="98" spans="1:5" x14ac:dyDescent="0.2">
      <c r="B98" s="249">
        <v>84075199</v>
      </c>
      <c r="C98" t="s">
        <v>507</v>
      </c>
      <c r="D98" s="254">
        <v>0.17</v>
      </c>
    </row>
    <row r="99" spans="1:5" x14ac:dyDescent="0.2">
      <c r="B99" s="249">
        <v>84075200</v>
      </c>
      <c r="C99" t="s">
        <v>508</v>
      </c>
      <c r="D99" s="253">
        <v>0.19</v>
      </c>
      <c r="E99" s="237"/>
    </row>
    <row r="100" spans="1:5" x14ac:dyDescent="0.2">
      <c r="B100" s="249">
        <v>84075201</v>
      </c>
      <c r="C100" t="s">
        <v>509</v>
      </c>
      <c r="D100" s="254">
        <v>0.2</v>
      </c>
    </row>
    <row r="101" spans="1:5" x14ac:dyDescent="0.2">
      <c r="B101" s="249">
        <v>84075202</v>
      </c>
      <c r="C101" t="s">
        <v>510</v>
      </c>
      <c r="D101" s="253">
        <v>0.3</v>
      </c>
      <c r="E101" s="240"/>
    </row>
    <row r="102" spans="1:5" x14ac:dyDescent="0.2">
      <c r="B102" s="249">
        <v>84075205</v>
      </c>
      <c r="C102" t="s">
        <v>511</v>
      </c>
      <c r="D102" s="253">
        <v>0</v>
      </c>
      <c r="E102" s="240"/>
    </row>
    <row r="103" spans="1:5" x14ac:dyDescent="0.2">
      <c r="B103" s="248">
        <v>84075206</v>
      </c>
      <c r="C103" t="s">
        <v>512</v>
      </c>
      <c r="D103" s="254">
        <v>0.19</v>
      </c>
    </row>
    <row r="104" spans="1:5" x14ac:dyDescent="0.2">
      <c r="B104" s="238">
        <v>84075207</v>
      </c>
      <c r="C104" s="239" t="s">
        <v>513</v>
      </c>
      <c r="D104" s="253">
        <v>0.45</v>
      </c>
    </row>
    <row r="105" spans="1:5" x14ac:dyDescent="0.2">
      <c r="B105" s="246">
        <v>84077841</v>
      </c>
      <c r="C105" s="239" t="s">
        <v>514</v>
      </c>
      <c r="D105" s="254">
        <v>0.35</v>
      </c>
    </row>
    <row r="106" spans="1:5" x14ac:dyDescent="0.2">
      <c r="B106" s="248">
        <v>84110561</v>
      </c>
      <c r="C106" s="239" t="s">
        <v>505</v>
      </c>
      <c r="D106" s="254">
        <v>0.51</v>
      </c>
    </row>
    <row r="107" spans="1:5" ht="16" x14ac:dyDescent="0.2">
      <c r="B107" s="247" t="s">
        <v>98</v>
      </c>
      <c r="C107" s="239" t="s">
        <v>515</v>
      </c>
      <c r="D107" s="254">
        <v>0.13200000000000001</v>
      </c>
    </row>
    <row r="108" spans="1:5" x14ac:dyDescent="0.2">
      <c r="B108" s="245" t="s">
        <v>101</v>
      </c>
      <c r="C108" t="s">
        <v>516</v>
      </c>
      <c r="D108" s="254">
        <v>0.435</v>
      </c>
    </row>
    <row r="109" spans="1:5" x14ac:dyDescent="0.2">
      <c r="B109" s="245" t="s">
        <v>106</v>
      </c>
      <c r="C109" s="239" t="s">
        <v>517</v>
      </c>
      <c r="D109" s="254">
        <v>0.70599999999999996</v>
      </c>
    </row>
    <row r="110" spans="1:5" x14ac:dyDescent="0.2">
      <c r="A110" t="s">
        <v>522</v>
      </c>
      <c r="B110" s="203">
        <v>82002564</v>
      </c>
      <c r="C110" s="203" t="s">
        <v>430</v>
      </c>
      <c r="D110" s="345">
        <v>0.34</v>
      </c>
    </row>
    <row r="111" spans="1:5" ht="16" x14ac:dyDescent="0.2">
      <c r="B111" s="203">
        <v>82009147</v>
      </c>
      <c r="C111" s="344" t="s">
        <v>436</v>
      </c>
      <c r="D111" s="343">
        <v>1.36</v>
      </c>
    </row>
    <row r="112" spans="1:5" x14ac:dyDescent="0.2">
      <c r="B112" s="203" t="s">
        <v>383</v>
      </c>
      <c r="C112" s="203" t="s">
        <v>523</v>
      </c>
      <c r="D112" s="343">
        <v>1.44</v>
      </c>
    </row>
    <row r="113" spans="1:4" x14ac:dyDescent="0.2">
      <c r="B113" s="203" t="s">
        <v>378</v>
      </c>
      <c r="C113" s="203" t="s">
        <v>524</v>
      </c>
      <c r="D113" s="343">
        <v>1.8720000000000001</v>
      </c>
    </row>
    <row r="114" spans="1:4" x14ac:dyDescent="0.2">
      <c r="A114" t="s">
        <v>525</v>
      </c>
      <c r="B114" s="203">
        <v>84017096</v>
      </c>
      <c r="C114" s="203" t="s">
        <v>526</v>
      </c>
      <c r="D114" s="343">
        <v>0.47</v>
      </c>
    </row>
    <row r="115" spans="1:4" x14ac:dyDescent="0.2">
      <c r="B115" s="203">
        <v>84058952</v>
      </c>
      <c r="C115" s="203" t="s">
        <v>481</v>
      </c>
      <c r="D115" s="343">
        <v>0.74</v>
      </c>
    </row>
    <row r="116" spans="1:4" x14ac:dyDescent="0.2">
      <c r="B116" s="203">
        <v>84058975</v>
      </c>
      <c r="C116" s="203" t="s">
        <v>487</v>
      </c>
      <c r="D116" s="343">
        <v>0.24</v>
      </c>
    </row>
    <row r="117" spans="1:4" x14ac:dyDescent="0.2">
      <c r="B117" s="203">
        <v>84058976</v>
      </c>
      <c r="C117" s="203" t="s">
        <v>488</v>
      </c>
      <c r="D117" s="343">
        <v>0.37</v>
      </c>
    </row>
    <row r="118" spans="1:4" x14ac:dyDescent="0.2">
      <c r="B118" s="203">
        <v>84058978</v>
      </c>
      <c r="C118" s="203" t="s">
        <v>490</v>
      </c>
      <c r="D118" s="343">
        <v>0.51</v>
      </c>
    </row>
    <row r="119" spans="1:4" x14ac:dyDescent="0.2">
      <c r="B119" s="203">
        <v>84081905</v>
      </c>
      <c r="C119" s="203" t="s">
        <v>469</v>
      </c>
      <c r="D119" s="343">
        <v>0.39</v>
      </c>
    </row>
    <row r="120" spans="1:4" x14ac:dyDescent="0.2">
      <c r="B120" s="203" t="s">
        <v>53</v>
      </c>
      <c r="C120" s="203" t="s">
        <v>527</v>
      </c>
      <c r="D120" s="343">
        <v>0.87</v>
      </c>
    </row>
    <row r="121" spans="1:4" x14ac:dyDescent="0.2">
      <c r="B121" s="203" t="s">
        <v>528</v>
      </c>
      <c r="C121" s="203" t="s">
        <v>516</v>
      </c>
      <c r="D121" s="343">
        <v>0.56000000000000005</v>
      </c>
    </row>
    <row r="122" spans="1:4" x14ac:dyDescent="0.2">
      <c r="B122" s="203" t="s">
        <v>287</v>
      </c>
      <c r="C122" s="203" t="s">
        <v>529</v>
      </c>
      <c r="D122" s="343">
        <v>80</v>
      </c>
    </row>
    <row r="123" spans="1:4" x14ac:dyDescent="0.2">
      <c r="B123" s="203" t="s">
        <v>402</v>
      </c>
      <c r="C123" s="203" t="s">
        <v>530</v>
      </c>
      <c r="D123" s="343">
        <v>20</v>
      </c>
    </row>
    <row r="124" spans="1:4" x14ac:dyDescent="0.2">
      <c r="B124" s="203" t="s">
        <v>55</v>
      </c>
      <c r="C124" s="203" t="s">
        <v>481</v>
      </c>
      <c r="D124" s="343">
        <v>0.68</v>
      </c>
    </row>
    <row r="125" spans="1:4" x14ac:dyDescent="0.2">
      <c r="B125" s="203" t="s">
        <v>295</v>
      </c>
      <c r="C125" s="203" t="s">
        <v>531</v>
      </c>
      <c r="D125" s="343">
        <v>93.334000000000003</v>
      </c>
    </row>
    <row r="126" spans="1:4" x14ac:dyDescent="0.2">
      <c r="B126" s="203" t="s">
        <v>59</v>
      </c>
      <c r="C126" s="203" t="s">
        <v>532</v>
      </c>
      <c r="D126" s="343">
        <v>1.01</v>
      </c>
    </row>
    <row r="127" spans="1:4" x14ac:dyDescent="0.2">
      <c r="B127" s="203">
        <v>84058952</v>
      </c>
      <c r="C127" s="203" t="s">
        <v>481</v>
      </c>
      <c r="D127" s="343">
        <v>0.74</v>
      </c>
    </row>
  </sheetData>
  <sortState xmlns:xlrd2="http://schemas.microsoft.com/office/spreadsheetml/2017/richdata2" ref="B152:D167">
    <sortCondition ref="D167"/>
  </sortState>
  <phoneticPr fontId="37" type="noConversion"/>
  <conditionalFormatting sqref="D6:D127">
    <cfRule type="cellIs" dxfId="7" priority="1" operator="lessThan">
      <formula>0.11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05CC-87D0-4592-90F5-D5F406E2C6E6}">
  <sheetPr codeName="Feuil7">
    <pageSetUpPr fitToPage="1"/>
  </sheetPr>
  <dimension ref="A1:I20"/>
  <sheetViews>
    <sheetView showGridLines="0" showRowColHeaders="0" zoomScaleNormal="100" workbookViewId="0">
      <selection activeCell="A3" sqref="A3"/>
    </sheetView>
  </sheetViews>
  <sheetFormatPr baseColWidth="10" defaultRowHeight="15" x14ac:dyDescent="0.2"/>
  <cols>
    <col min="1" max="1" width="28.5" customWidth="1"/>
    <col min="2" max="6" width="22.5" customWidth="1"/>
    <col min="7" max="8" width="28.5" customWidth="1"/>
    <col min="9" max="16" width="12.83203125" bestFit="1" customWidth="1"/>
  </cols>
  <sheetData>
    <row r="1" spans="1:9" s="43" customFormat="1" ht="74.25" customHeight="1" x14ac:dyDescent="0.2">
      <c r="A1" s="41"/>
      <c r="B1" s="47"/>
      <c r="C1" s="288" t="str">
        <f>Language!B62</f>
        <v>Spare Parts</v>
      </c>
      <c r="D1" s="45"/>
      <c r="E1" s="46"/>
      <c r="F1" s="48" t="str">
        <f>MENU!F1</f>
        <v>EN</v>
      </c>
      <c r="G1" s="356" t="s">
        <v>111</v>
      </c>
      <c r="H1" s="356"/>
      <c r="I1" s="45"/>
    </row>
    <row r="2" spans="1:9" s="43" customFormat="1" ht="21.75" customHeight="1" x14ac:dyDescent="0.2">
      <c r="A2" s="49"/>
      <c r="B2" s="49"/>
      <c r="C2" s="50"/>
      <c r="E2" s="51"/>
      <c r="F2" s="42"/>
      <c r="G2" s="44"/>
      <c r="H2" s="44"/>
    </row>
    <row r="3" spans="1:9" s="43" customFormat="1" ht="28.5" customHeight="1" x14ac:dyDescent="0.3">
      <c r="A3" s="106" t="s">
        <v>176</v>
      </c>
      <c r="B3" s="52" t="str">
        <f>Language!$B$46</f>
        <v>Tools</v>
      </c>
      <c r="C3" s="50"/>
      <c r="E3" s="51"/>
      <c r="F3" s="42"/>
      <c r="G3" s="44"/>
      <c r="H3" s="44"/>
    </row>
    <row r="4" spans="1:9" x14ac:dyDescent="0.2">
      <c r="A4" s="106" t="s">
        <v>178</v>
      </c>
    </row>
    <row r="5" spans="1:9" ht="18" customHeight="1" x14ac:dyDescent="0.2">
      <c r="A5" s="106" t="s">
        <v>177</v>
      </c>
    </row>
    <row r="6" spans="1:9" ht="18" customHeight="1" x14ac:dyDescent="0.2">
      <c r="A6" s="106"/>
    </row>
    <row r="7" spans="1:9" ht="21" customHeight="1" x14ac:dyDescent="0.2">
      <c r="B7" s="147"/>
      <c r="C7" s="376" t="s">
        <v>258</v>
      </c>
      <c r="D7" s="376"/>
      <c r="E7" s="147" t="s">
        <v>257</v>
      </c>
      <c r="F7" s="146" t="s">
        <v>128</v>
      </c>
    </row>
    <row r="8" spans="1:9" ht="23.25" customHeight="1" x14ac:dyDescent="0.2">
      <c r="B8" s="373" t="str">
        <f>Language!$B$51</f>
        <v>Good lubrication improves lifespan of wire ropes</v>
      </c>
      <c r="C8" s="374"/>
      <c r="D8" s="374"/>
      <c r="E8" s="374"/>
      <c r="F8" s="375"/>
    </row>
    <row r="9" spans="1:9" ht="159" customHeight="1" x14ac:dyDescent="0.2">
      <c r="B9" s="158"/>
      <c r="C9" s="371" t="str">
        <f>Language!$B$50</f>
        <v>LC oil for wire rope
Use during maintenance time or to lubricate after cleanning</v>
      </c>
      <c r="D9" s="372"/>
      <c r="E9" s="206" t="s">
        <v>283</v>
      </c>
      <c r="F9" s="148" t="s">
        <v>281</v>
      </c>
    </row>
    <row r="10" spans="1:9" ht="100.5" customHeight="1" x14ac:dyDescent="0.2">
      <c r="B10" s="151"/>
      <c r="C10" s="370" t="str">
        <f>Language!$B$47</f>
        <v>CABLE PULLING GRIP DOUBLE</v>
      </c>
      <c r="D10" s="370"/>
      <c r="E10" s="152" t="s">
        <v>259</v>
      </c>
      <c r="F10" s="148">
        <v>84063553</v>
      </c>
    </row>
    <row r="11" spans="1:9" ht="100.5" customHeight="1" x14ac:dyDescent="0.2">
      <c r="B11" s="151"/>
      <c r="C11" s="370" t="str">
        <f>Language!$B$47</f>
        <v>CABLE PULLING GRIP DOUBLE</v>
      </c>
      <c r="D11" s="370"/>
      <c r="E11" s="152" t="s">
        <v>260</v>
      </c>
      <c r="F11" s="148">
        <v>84051421</v>
      </c>
    </row>
    <row r="12" spans="1:9" ht="100.5" customHeight="1" x14ac:dyDescent="0.2">
      <c r="B12" s="151"/>
      <c r="C12" s="370" t="str">
        <f>Language!$B$47</f>
        <v>CABLE PULLING GRIP DOUBLE</v>
      </c>
      <c r="D12" s="370"/>
      <c r="E12" s="152" t="s">
        <v>261</v>
      </c>
      <c r="F12" s="148">
        <v>84051422</v>
      </c>
    </row>
    <row r="13" spans="1:9" ht="100.5" customHeight="1" x14ac:dyDescent="0.2">
      <c r="B13" s="150"/>
      <c r="C13" s="370" t="str">
        <f>Language!$B$47</f>
        <v>CABLE PULLING GRIP DOUBLE</v>
      </c>
      <c r="D13" s="370"/>
      <c r="E13" s="152" t="s">
        <v>262</v>
      </c>
      <c r="F13" s="148">
        <v>84063554</v>
      </c>
    </row>
    <row r="14" spans="1:9" ht="100.5" customHeight="1" x14ac:dyDescent="0.2">
      <c r="B14" s="150"/>
      <c r="C14" s="370" t="str">
        <f>Language!$B$47</f>
        <v>CABLE PULLING GRIP DOUBLE</v>
      </c>
      <c r="D14" s="370"/>
      <c r="E14" s="152" t="s">
        <v>263</v>
      </c>
      <c r="F14" s="148">
        <v>84063564</v>
      </c>
    </row>
    <row r="15" spans="1:9" ht="100.5" customHeight="1" x14ac:dyDescent="0.2">
      <c r="B15" s="154"/>
      <c r="C15" s="370" t="str">
        <f>Language!$B$47</f>
        <v>CABLE PULLING GRIP DOUBLE</v>
      </c>
      <c r="D15" s="370"/>
      <c r="E15" s="155" t="s">
        <v>264</v>
      </c>
      <c r="F15" s="148">
        <v>84063565</v>
      </c>
    </row>
    <row r="16" spans="1:9" ht="110.25" customHeight="1" x14ac:dyDescent="0.2">
      <c r="B16" s="153"/>
      <c r="C16" s="370" t="str">
        <f>Language!$B$48</f>
        <v>Set of graduate gauges to checking hoist pulley</v>
      </c>
      <c r="D16" s="370"/>
      <c r="E16" s="149" t="str">
        <f>Language!$B$49</f>
        <v xml:space="preserve"> +5% all diameters from 8 to 26mm</v>
      </c>
      <c r="F16" s="148">
        <v>84051434</v>
      </c>
    </row>
    <row r="17" spans="1:1" ht="28" customHeight="1" x14ac:dyDescent="0.2">
      <c r="A17" s="106" t="s">
        <v>266</v>
      </c>
    </row>
    <row r="20" spans="1:1" ht="21" customHeight="1" x14ac:dyDescent="0.2"/>
  </sheetData>
  <sheetProtection algorithmName="SHA-512" hashValue="wdJL5+dVcEupaqz1af0fe52Ab7SjO6tKwT0dx60PBEGxgHFEUZfbt7yTn2mdNwxl4+Q0//YOf1hctit44J2Phg==" saltValue="maZxLCT017OcqJ9M5pPutw==" spinCount="100000" sheet="1" objects="1" scenarios="1"/>
  <mergeCells count="11">
    <mergeCell ref="C9:D9"/>
    <mergeCell ref="B8:F8"/>
    <mergeCell ref="G1:H1"/>
    <mergeCell ref="C15:D15"/>
    <mergeCell ref="C7:D7"/>
    <mergeCell ref="C16:D16"/>
    <mergeCell ref="C10:D10"/>
    <mergeCell ref="C11:D11"/>
    <mergeCell ref="C12:D12"/>
    <mergeCell ref="C14:D14"/>
    <mergeCell ref="C13:D13"/>
  </mergeCells>
  <conditionalFormatting sqref="B8 B16:C16 F16">
    <cfRule type="expression" dxfId="6" priority="20">
      <formula>IF(#REF!="",TRUE,FALSE)</formula>
    </cfRule>
  </conditionalFormatting>
  <conditionalFormatting sqref="B9:C9 F9">
    <cfRule type="expression" dxfId="5" priority="1">
      <formula>IF(#REF!="",TRUE,FALSE)</formula>
    </cfRule>
  </conditionalFormatting>
  <dataValidations count="1">
    <dataValidation errorStyle="warning" allowBlank="1" showInputMessage="1" showErrorMessage="1" errorTitle="ERROR" sqref="F1:F3" xr:uid="{2720FE11-CD0A-45F7-8685-069BFF3AFFB2}"/>
  </dataValidations>
  <hyperlinks>
    <hyperlink ref="F1" location="MENU!F1" display="FR" xr:uid="{1A1AC00F-8CA4-4CFD-A127-24C8FD199697}"/>
    <hyperlink ref="A3" location="MENU!A1" display="&gt;&gt;" xr:uid="{BADB0E47-2A67-4368-B9A3-36D0A629F39E}"/>
    <hyperlink ref="A5" location="'Cables métal GMA'!C5" display="GMA &lt;&lt;" xr:uid="{EDBB1EB6-78E5-4BD7-BFE7-FEAAE4ABFCD3}"/>
    <hyperlink ref="A4" location="'Cables métal GME'!C5" display="GME &lt;&lt;" xr:uid="{6030E613-1250-4AC5-97FB-F7BD47DD9411}"/>
    <hyperlink ref="A17" location="Outils!A1" display="BACK &gt;&gt;" xr:uid="{0F3A16B8-E7D4-4648-AFBF-532682717EEA}"/>
  </hyperlinks>
  <pageMargins left="0.7" right="0.7" top="0.75" bottom="0.75" header="0.3" footer="0.3"/>
  <pageSetup scale="4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853A-C0A0-4718-835D-98139CF41225}">
  <sheetPr codeName="Feuil5"/>
  <dimension ref="A1:O27"/>
  <sheetViews>
    <sheetView workbookViewId="0">
      <selection activeCell="F18" sqref="F18:F21"/>
    </sheetView>
  </sheetViews>
  <sheetFormatPr baseColWidth="10" defaultRowHeight="15" x14ac:dyDescent="0.2"/>
  <cols>
    <col min="10" max="10" width="31.5" bestFit="1" customWidth="1"/>
    <col min="13" max="13" width="21.33203125" customWidth="1"/>
    <col min="14" max="14" width="18.6640625" customWidth="1"/>
    <col min="15" max="15" width="24.5" customWidth="1"/>
  </cols>
  <sheetData>
    <row r="1" spans="1:15" ht="50" customHeight="1" thickBot="1" x14ac:dyDescent="0.25">
      <c r="A1" s="381" t="s">
        <v>563</v>
      </c>
      <c r="B1" s="382"/>
      <c r="C1" s="382"/>
      <c r="D1" s="382"/>
      <c r="E1" s="382"/>
      <c r="F1" s="382"/>
      <c r="G1" s="382"/>
      <c r="H1" s="382"/>
      <c r="I1" s="382"/>
      <c r="J1" s="383"/>
      <c r="M1" s="378" t="s">
        <v>562</v>
      </c>
      <c r="N1" s="379"/>
      <c r="O1" s="380"/>
    </row>
    <row r="2" spans="1:15" ht="16" thickBot="1" x14ac:dyDescent="0.25">
      <c r="A2" s="214" t="s">
        <v>409</v>
      </c>
      <c r="B2" s="215" t="s">
        <v>408</v>
      </c>
      <c r="C2" s="216"/>
      <c r="E2" s="377" t="s">
        <v>134</v>
      </c>
      <c r="F2" s="377"/>
      <c r="G2" s="240"/>
      <c r="H2" s="91"/>
      <c r="I2" s="91"/>
    </row>
    <row r="3" spans="1:15" ht="48" x14ac:dyDescent="0.2">
      <c r="A3" s="212" t="s">
        <v>69</v>
      </c>
      <c r="B3" s="212" t="s">
        <v>127</v>
      </c>
      <c r="C3" s="213" t="s">
        <v>420</v>
      </c>
      <c r="D3" s="75" t="s">
        <v>316</v>
      </c>
      <c r="E3" s="76" t="s">
        <v>71</v>
      </c>
      <c r="F3" s="77" t="s">
        <v>72</v>
      </c>
      <c r="G3" s="74" t="s">
        <v>559</v>
      </c>
      <c r="H3" s="75" t="s">
        <v>558</v>
      </c>
      <c r="I3" s="77" t="s">
        <v>567</v>
      </c>
      <c r="J3" s="73" t="s">
        <v>425</v>
      </c>
      <c r="M3" s="103" t="s">
        <v>168</v>
      </c>
      <c r="N3" s="103" t="s">
        <v>170</v>
      </c>
      <c r="O3" s="103" t="s">
        <v>171</v>
      </c>
    </row>
    <row r="4" spans="1:15" x14ac:dyDescent="0.2">
      <c r="A4" s="78">
        <v>6</v>
      </c>
      <c r="B4" s="273" t="s">
        <v>138</v>
      </c>
      <c r="C4" s="273" t="s">
        <v>138</v>
      </c>
      <c r="D4" s="270">
        <v>84058929</v>
      </c>
      <c r="E4" s="81" t="s">
        <v>138</v>
      </c>
      <c r="F4" s="81" t="s">
        <v>138</v>
      </c>
      <c r="G4" s="81" t="s">
        <v>138</v>
      </c>
      <c r="H4" s="81" t="s">
        <v>138</v>
      </c>
      <c r="I4" s="189"/>
      <c r="J4" s="232" t="str">
        <f>Language!$B$52</f>
        <v>Specific rope  -&gt; Refer to crane manual</v>
      </c>
      <c r="M4" s="104" t="s">
        <v>55</v>
      </c>
      <c r="N4" s="104" t="s">
        <v>55</v>
      </c>
      <c r="O4" s="72">
        <v>12</v>
      </c>
    </row>
    <row r="5" spans="1:15" x14ac:dyDescent="0.2">
      <c r="A5" s="78">
        <v>6.7</v>
      </c>
      <c r="B5" s="273" t="s">
        <v>138</v>
      </c>
      <c r="C5" s="81" t="s">
        <v>138</v>
      </c>
      <c r="D5" s="270">
        <v>84058930</v>
      </c>
      <c r="E5" s="81" t="s">
        <v>138</v>
      </c>
      <c r="F5" s="81" t="s">
        <v>138</v>
      </c>
      <c r="G5" s="79">
        <v>84077539</v>
      </c>
      <c r="H5" s="81" t="s">
        <v>138</v>
      </c>
      <c r="I5" s="189"/>
      <c r="J5" s="232" t="str">
        <f>Language!$B$52</f>
        <v>Specific rope  -&gt; Refer to crane manual</v>
      </c>
      <c r="M5" s="104" t="s">
        <v>58</v>
      </c>
      <c r="N5" s="104">
        <v>84058978</v>
      </c>
      <c r="O5" s="72">
        <v>12</v>
      </c>
    </row>
    <row r="6" spans="1:15" x14ac:dyDescent="0.2">
      <c r="A6" s="78">
        <v>7.2</v>
      </c>
      <c r="B6" s="273" t="s">
        <v>138</v>
      </c>
      <c r="C6" s="273" t="s">
        <v>138</v>
      </c>
      <c r="D6" s="270">
        <v>84058911</v>
      </c>
      <c r="E6" s="81" t="s">
        <v>138</v>
      </c>
      <c r="F6" s="81" t="s">
        <v>138</v>
      </c>
      <c r="G6" s="273" t="s">
        <v>138</v>
      </c>
      <c r="H6" s="75">
        <v>84077586</v>
      </c>
      <c r="I6" s="189"/>
      <c r="J6" s="232" t="str">
        <f>Language!$B$52</f>
        <v>Specific rope  -&gt; Refer to crane manual</v>
      </c>
      <c r="M6" s="104" t="s">
        <v>59</v>
      </c>
      <c r="N6" s="104" t="s">
        <v>59</v>
      </c>
      <c r="O6" s="72">
        <v>15</v>
      </c>
    </row>
    <row r="7" spans="1:15" x14ac:dyDescent="0.2">
      <c r="A7" s="78">
        <v>8</v>
      </c>
      <c r="B7" s="107" t="s">
        <v>138</v>
      </c>
      <c r="C7" s="273" t="s">
        <v>138</v>
      </c>
      <c r="D7" s="80">
        <v>84058912</v>
      </c>
      <c r="E7" s="81" t="s">
        <v>138</v>
      </c>
      <c r="F7" s="81" t="s">
        <v>138</v>
      </c>
      <c r="G7" s="273" t="s">
        <v>138</v>
      </c>
      <c r="H7" s="75">
        <v>84077543</v>
      </c>
      <c r="I7" s="189"/>
      <c r="J7" s="232" t="str">
        <f>Language!$B$52</f>
        <v>Specific rope  -&gt; Refer to crane manual</v>
      </c>
      <c r="M7" s="104" t="s">
        <v>213</v>
      </c>
      <c r="N7" s="104">
        <v>84058951</v>
      </c>
      <c r="O7" s="72">
        <v>11</v>
      </c>
    </row>
    <row r="8" spans="1:15" x14ac:dyDescent="0.2">
      <c r="A8" s="78">
        <v>9</v>
      </c>
      <c r="B8" s="107" t="s">
        <v>138</v>
      </c>
      <c r="C8" s="273" t="s">
        <v>138</v>
      </c>
      <c r="D8" s="80">
        <v>84058913</v>
      </c>
      <c r="E8" s="81" t="s">
        <v>138</v>
      </c>
      <c r="F8" s="81" t="s">
        <v>138</v>
      </c>
      <c r="G8" s="273" t="s">
        <v>138</v>
      </c>
      <c r="H8" s="75">
        <v>84081905</v>
      </c>
      <c r="I8" s="189"/>
      <c r="J8" s="232" t="str">
        <f>Language!$B$52</f>
        <v>Specific rope  -&gt; Refer to crane manual</v>
      </c>
      <c r="M8" s="104" t="s">
        <v>53</v>
      </c>
      <c r="N8" s="104">
        <v>84058954</v>
      </c>
      <c r="O8" s="72">
        <v>14</v>
      </c>
    </row>
    <row r="9" spans="1:15" x14ac:dyDescent="0.2">
      <c r="A9" s="78">
        <v>10</v>
      </c>
      <c r="B9" s="107" t="s">
        <v>138</v>
      </c>
      <c r="C9" s="273" t="s">
        <v>138</v>
      </c>
      <c r="D9" s="80">
        <v>84058914</v>
      </c>
      <c r="E9" s="81" t="s">
        <v>138</v>
      </c>
      <c r="F9" s="81" t="s">
        <v>138</v>
      </c>
      <c r="G9" s="273" t="s">
        <v>138</v>
      </c>
      <c r="H9" s="75">
        <v>84111218</v>
      </c>
      <c r="I9" s="189"/>
      <c r="J9" s="232" t="str">
        <f>Language!$B$52</f>
        <v>Specific rope  -&gt; Refer to crane manual</v>
      </c>
      <c r="M9" s="268">
        <v>84017096</v>
      </c>
      <c r="N9" s="268">
        <v>84058914</v>
      </c>
      <c r="O9" s="78">
        <v>10</v>
      </c>
    </row>
    <row r="10" spans="1:15" x14ac:dyDescent="0.2">
      <c r="A10" s="78">
        <v>11</v>
      </c>
      <c r="B10" s="107" t="s">
        <v>138</v>
      </c>
      <c r="C10" s="79">
        <v>82009144</v>
      </c>
      <c r="D10" s="80">
        <v>84058915</v>
      </c>
      <c r="E10" s="81" t="s">
        <v>138</v>
      </c>
      <c r="F10" s="81" t="s">
        <v>138</v>
      </c>
      <c r="G10" s="81" t="s">
        <v>138</v>
      </c>
      <c r="H10" s="75">
        <v>84112857</v>
      </c>
      <c r="I10" s="189"/>
      <c r="J10" s="232" t="str">
        <f>Language!$B$52</f>
        <v>Specific rope  -&gt; Refer to crane manual</v>
      </c>
      <c r="M10" s="104">
        <v>84081905</v>
      </c>
      <c r="N10" s="104">
        <v>84081905</v>
      </c>
      <c r="O10" s="72">
        <v>9</v>
      </c>
    </row>
    <row r="11" spans="1:15" x14ac:dyDescent="0.2">
      <c r="A11" s="78">
        <v>12</v>
      </c>
      <c r="B11" s="107" t="s">
        <v>138</v>
      </c>
      <c r="C11" s="81" t="s">
        <v>138</v>
      </c>
      <c r="D11" s="80">
        <v>84058916</v>
      </c>
      <c r="E11" s="82">
        <v>84058875</v>
      </c>
      <c r="F11" s="81" t="s">
        <v>138</v>
      </c>
      <c r="G11" s="81" t="s">
        <v>138</v>
      </c>
      <c r="H11" s="81" t="s">
        <v>138</v>
      </c>
      <c r="I11" s="189"/>
      <c r="J11" s="232" t="str">
        <f>Language!$B$52</f>
        <v>Specific rope  -&gt; Refer to crane manual</v>
      </c>
      <c r="M11" s="104" t="s">
        <v>237</v>
      </c>
      <c r="N11" s="104">
        <v>84058976</v>
      </c>
      <c r="O11" s="72">
        <v>9</v>
      </c>
    </row>
    <row r="12" spans="1:15" x14ac:dyDescent="0.2">
      <c r="A12" s="78">
        <v>13</v>
      </c>
      <c r="B12" s="107" t="s">
        <v>138</v>
      </c>
      <c r="C12" s="81" t="s">
        <v>138</v>
      </c>
      <c r="D12" s="80">
        <v>84058917</v>
      </c>
      <c r="E12" s="82">
        <v>84058876</v>
      </c>
      <c r="F12" s="81" t="s">
        <v>138</v>
      </c>
      <c r="G12" s="81" t="s">
        <v>138</v>
      </c>
      <c r="H12" s="81" t="s">
        <v>138</v>
      </c>
      <c r="I12" s="189"/>
      <c r="J12" s="232" t="str">
        <f>Language!$B$52</f>
        <v>Specific rope  -&gt; Refer to crane manual</v>
      </c>
      <c r="M12" s="268" t="s">
        <v>568</v>
      </c>
      <c r="N12" s="268" t="s">
        <v>568</v>
      </c>
      <c r="O12" s="72">
        <v>14</v>
      </c>
    </row>
    <row r="13" spans="1:15" x14ac:dyDescent="0.2">
      <c r="A13" s="78">
        <v>14</v>
      </c>
      <c r="B13" s="107" t="s">
        <v>138</v>
      </c>
      <c r="C13" s="81" t="s">
        <v>138</v>
      </c>
      <c r="D13" s="80">
        <v>84058918</v>
      </c>
      <c r="E13" s="82">
        <v>84058877</v>
      </c>
      <c r="F13" s="81" t="s">
        <v>138</v>
      </c>
      <c r="G13" s="81" t="s">
        <v>138</v>
      </c>
      <c r="H13" s="81" t="s">
        <v>138</v>
      </c>
      <c r="I13" s="189"/>
      <c r="J13" s="232" t="str">
        <f>Language!$B$52</f>
        <v>Specific rope  -&gt; Refer to crane manual</v>
      </c>
      <c r="M13" s="104" t="s">
        <v>100</v>
      </c>
      <c r="N13" s="104">
        <v>84058975</v>
      </c>
      <c r="O13" s="72">
        <v>7.5</v>
      </c>
    </row>
    <row r="14" spans="1:15" x14ac:dyDescent="0.2">
      <c r="A14" s="78">
        <v>16</v>
      </c>
      <c r="B14" s="107" t="s">
        <v>138</v>
      </c>
      <c r="C14" s="81" t="s">
        <v>138</v>
      </c>
      <c r="D14" s="80">
        <v>84058919</v>
      </c>
      <c r="E14" s="82">
        <v>84058878</v>
      </c>
      <c r="F14" s="81" t="s">
        <v>138</v>
      </c>
      <c r="G14" s="81" t="s">
        <v>138</v>
      </c>
      <c r="H14" s="81" t="s">
        <v>138</v>
      </c>
      <c r="I14" s="189"/>
      <c r="J14" s="232" t="str">
        <f>Language!$B$52</f>
        <v>Specific rope  -&gt; Refer to crane manual</v>
      </c>
      <c r="M14" s="268" t="s">
        <v>402</v>
      </c>
      <c r="N14" s="268" t="s">
        <v>402</v>
      </c>
      <c r="O14" s="72">
        <v>6</v>
      </c>
    </row>
    <row r="15" spans="1:15" x14ac:dyDescent="0.2">
      <c r="A15" s="78">
        <v>18</v>
      </c>
      <c r="B15" s="107" t="s">
        <v>138</v>
      </c>
      <c r="C15" s="81" t="s">
        <v>138</v>
      </c>
      <c r="D15" s="80">
        <v>84058920</v>
      </c>
      <c r="E15" s="82">
        <v>84058879</v>
      </c>
      <c r="F15" s="81" t="s">
        <v>138</v>
      </c>
      <c r="G15" s="81" t="s">
        <v>138</v>
      </c>
      <c r="H15" s="81" t="s">
        <v>138</v>
      </c>
      <c r="I15" s="189"/>
      <c r="J15" s="232" t="str">
        <f>Language!$B$52</f>
        <v>Specific rope  -&gt; Refer to crane manual</v>
      </c>
      <c r="M15" s="268">
        <v>84058952</v>
      </c>
      <c r="N15" s="268">
        <v>84058952</v>
      </c>
      <c r="O15" s="72">
        <v>12</v>
      </c>
    </row>
    <row r="16" spans="1:15" x14ac:dyDescent="0.2">
      <c r="A16" s="78">
        <v>19</v>
      </c>
      <c r="B16" s="107" t="s">
        <v>138</v>
      </c>
      <c r="C16" s="81" t="s">
        <v>138</v>
      </c>
      <c r="D16" s="81" t="s">
        <v>138</v>
      </c>
      <c r="E16" s="81" t="s">
        <v>138</v>
      </c>
      <c r="F16" s="81" t="s">
        <v>138</v>
      </c>
      <c r="G16" s="81" t="s">
        <v>138</v>
      </c>
      <c r="H16" s="81" t="s">
        <v>138</v>
      </c>
      <c r="I16" s="189"/>
      <c r="J16" s="232" t="str">
        <f>Language!$B$52</f>
        <v>Specific rope  -&gt; Refer to crane manual</v>
      </c>
      <c r="M16" s="268" t="s">
        <v>15</v>
      </c>
      <c r="N16" s="268">
        <v>84058993</v>
      </c>
      <c r="O16" s="72">
        <v>7.5</v>
      </c>
    </row>
    <row r="17" spans="1:15" x14ac:dyDescent="0.2">
      <c r="A17" s="78">
        <v>20</v>
      </c>
      <c r="B17" s="107" t="s">
        <v>138</v>
      </c>
      <c r="C17" s="81" t="s">
        <v>138</v>
      </c>
      <c r="D17" s="80">
        <v>84058922</v>
      </c>
      <c r="E17" s="81" t="s">
        <v>138</v>
      </c>
      <c r="F17" s="84">
        <v>84058896</v>
      </c>
      <c r="G17" s="81" t="s">
        <v>138</v>
      </c>
      <c r="H17" s="81" t="s">
        <v>138</v>
      </c>
      <c r="I17" s="84">
        <v>84053884</v>
      </c>
      <c r="J17" s="232" t="str">
        <f>Language!$B$52</f>
        <v>Specific rope  -&gt; Refer to crane manual</v>
      </c>
      <c r="M17" s="104"/>
      <c r="N17" s="268"/>
      <c r="O17" s="72"/>
    </row>
    <row r="18" spans="1:15" ht="16" x14ac:dyDescent="0.2">
      <c r="A18" s="78">
        <v>22</v>
      </c>
      <c r="B18" s="107" t="s">
        <v>138</v>
      </c>
      <c r="C18" s="81" t="s">
        <v>138</v>
      </c>
      <c r="D18" s="83" t="s">
        <v>138</v>
      </c>
      <c r="E18" s="81" t="s">
        <v>138</v>
      </c>
      <c r="F18" s="275">
        <v>84058897</v>
      </c>
      <c r="G18" s="81" t="s">
        <v>138</v>
      </c>
      <c r="H18" s="81" t="s">
        <v>138</v>
      </c>
      <c r="I18" s="189"/>
      <c r="J18" s="232" t="str">
        <f>Language!$B$52</f>
        <v>Specific rope  -&gt; Refer to crane manual</v>
      </c>
      <c r="M18" s="104"/>
      <c r="N18" s="104"/>
      <c r="O18" s="72"/>
    </row>
    <row r="19" spans="1:15" ht="16" x14ac:dyDescent="0.2">
      <c r="A19" s="78">
        <v>26</v>
      </c>
      <c r="B19" s="107" t="s">
        <v>138</v>
      </c>
      <c r="C19" s="81" t="s">
        <v>138</v>
      </c>
      <c r="D19" s="83" t="s">
        <v>138</v>
      </c>
      <c r="E19" s="81" t="s">
        <v>138</v>
      </c>
      <c r="F19" s="84">
        <v>84058898</v>
      </c>
      <c r="G19" s="274" t="s">
        <v>138</v>
      </c>
      <c r="H19" s="81" t="s">
        <v>138</v>
      </c>
      <c r="I19" s="84">
        <v>84053885</v>
      </c>
      <c r="J19" s="232" t="str">
        <f>Language!$B$52</f>
        <v>Specific rope  -&gt; Refer to crane manual</v>
      </c>
      <c r="M19" s="104"/>
      <c r="N19" s="104"/>
      <c r="O19" s="72"/>
    </row>
    <row r="20" spans="1:15" ht="16" x14ac:dyDescent="0.2">
      <c r="A20" s="78">
        <v>28</v>
      </c>
      <c r="B20" s="107" t="s">
        <v>138</v>
      </c>
      <c r="C20" s="81" t="s">
        <v>138</v>
      </c>
      <c r="D20" s="83" t="s">
        <v>138</v>
      </c>
      <c r="E20" s="81" t="s">
        <v>138</v>
      </c>
      <c r="F20" s="84">
        <v>84058899</v>
      </c>
      <c r="G20" s="81" t="s">
        <v>138</v>
      </c>
      <c r="H20" s="81" t="s">
        <v>138</v>
      </c>
      <c r="I20" s="84">
        <v>84053711</v>
      </c>
      <c r="J20" s="232" t="str">
        <f>Language!$B$52</f>
        <v>Specific rope  -&gt; Refer to crane manual</v>
      </c>
      <c r="M20" s="104"/>
      <c r="N20" s="104"/>
      <c r="O20" s="72"/>
    </row>
    <row r="21" spans="1:15" ht="16" x14ac:dyDescent="0.2">
      <c r="A21" s="78">
        <v>34</v>
      </c>
      <c r="B21" s="107" t="s">
        <v>138</v>
      </c>
      <c r="C21" s="81" t="s">
        <v>138</v>
      </c>
      <c r="D21" s="83" t="s">
        <v>138</v>
      </c>
      <c r="E21" s="81" t="s">
        <v>138</v>
      </c>
      <c r="F21" s="84">
        <v>84058900</v>
      </c>
      <c r="G21" s="81" t="s">
        <v>138</v>
      </c>
      <c r="H21" s="81" t="s">
        <v>138</v>
      </c>
      <c r="I21" s="84">
        <v>84016681</v>
      </c>
      <c r="J21" s="232" t="str">
        <f>Language!$B$52</f>
        <v>Specific rope  -&gt; Refer to crane manual</v>
      </c>
      <c r="M21" s="104"/>
      <c r="N21" s="104"/>
      <c r="O21" s="72"/>
    </row>
    <row r="22" spans="1:15" x14ac:dyDescent="0.2">
      <c r="M22" s="104"/>
      <c r="N22" s="104"/>
      <c r="O22" s="72"/>
    </row>
    <row r="23" spans="1:15" x14ac:dyDescent="0.2">
      <c r="M23" s="104"/>
      <c r="N23" s="104"/>
      <c r="O23" s="72"/>
    </row>
    <row r="24" spans="1:15" x14ac:dyDescent="0.2">
      <c r="M24" s="104"/>
      <c r="N24" s="104"/>
      <c r="O24" s="72"/>
    </row>
    <row r="25" spans="1:15" x14ac:dyDescent="0.2">
      <c r="M25" s="104"/>
      <c r="N25" s="104"/>
      <c r="O25" s="72"/>
    </row>
    <row r="27" spans="1:15" x14ac:dyDescent="0.2">
      <c r="A27" s="290" t="s">
        <v>598</v>
      </c>
      <c r="B27" s="56"/>
      <c r="C27" s="56"/>
      <c r="D27" s="56"/>
      <c r="E27" s="56"/>
      <c r="F27" s="56"/>
      <c r="G27" s="56"/>
      <c r="H27" s="56"/>
      <c r="I27" s="56"/>
      <c r="J27" s="56"/>
    </row>
  </sheetData>
  <mergeCells count="3">
    <mergeCell ref="E2:F2"/>
    <mergeCell ref="M1:O1"/>
    <mergeCell ref="A1:J1"/>
  </mergeCells>
  <phoneticPr fontId="37" type="noConversion"/>
  <conditionalFormatting sqref="M4:M25">
    <cfRule type="duplicateValues" dxfId="4" priority="44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78A0-5FCE-4502-BE00-F69DBAE9906A}">
  <sheetPr codeName="Feuil6"/>
  <dimension ref="A1:O25"/>
  <sheetViews>
    <sheetView workbookViewId="0">
      <selection activeCell="N17" sqref="N17"/>
    </sheetView>
  </sheetViews>
  <sheetFormatPr baseColWidth="10" defaultRowHeight="15" x14ac:dyDescent="0.2"/>
  <cols>
    <col min="3" max="3" width="15.5" bestFit="1" customWidth="1"/>
    <col min="4" max="4" width="17" bestFit="1" customWidth="1"/>
    <col min="5" max="5" width="19.83203125" customWidth="1"/>
    <col min="6" max="6" width="12.83203125" customWidth="1"/>
    <col min="8" max="8" width="11.5" customWidth="1"/>
    <col min="9" max="9" width="13.83203125" customWidth="1"/>
    <col min="11" max="11" width="13.6640625" customWidth="1"/>
    <col min="12" max="12" width="16.83203125" customWidth="1"/>
    <col min="13" max="13" width="16.6640625" customWidth="1"/>
    <col min="14" max="14" width="11.83203125" bestFit="1" customWidth="1"/>
  </cols>
  <sheetData>
    <row r="1" spans="1:14" ht="50" customHeight="1" thickBot="1" x14ac:dyDescent="0.25">
      <c r="A1" s="278" t="s">
        <v>561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7" thickBot="1" x14ac:dyDescent="0.25">
      <c r="A2" s="384" t="s">
        <v>222</v>
      </c>
      <c r="B2" s="385"/>
      <c r="C2" s="385"/>
      <c r="D2" s="385"/>
      <c r="E2" s="385"/>
      <c r="F2" s="386"/>
      <c r="I2" s="384" t="s">
        <v>560</v>
      </c>
      <c r="J2" s="385"/>
      <c r="K2" s="385"/>
      <c r="L2" s="385"/>
      <c r="M2" s="385"/>
      <c r="N2" s="386"/>
    </row>
    <row r="3" spans="1:14" ht="16" x14ac:dyDescent="0.2">
      <c r="A3" s="387" t="s">
        <v>73</v>
      </c>
      <c r="B3" s="25" t="s">
        <v>73</v>
      </c>
      <c r="C3" s="390" t="s">
        <v>90</v>
      </c>
      <c r="D3" s="390"/>
      <c r="E3" s="390" t="s">
        <v>91</v>
      </c>
      <c r="F3" s="392"/>
      <c r="I3" s="387" t="s">
        <v>73</v>
      </c>
      <c r="J3" s="25" t="s">
        <v>73</v>
      </c>
      <c r="K3" s="390" t="s">
        <v>90</v>
      </c>
      <c r="L3" s="390"/>
      <c r="M3" s="390" t="s">
        <v>91</v>
      </c>
      <c r="N3" s="392"/>
    </row>
    <row r="4" spans="1:14" ht="16" x14ac:dyDescent="0.2">
      <c r="A4" s="388"/>
      <c r="B4" s="26" t="s">
        <v>73</v>
      </c>
      <c r="C4" s="391"/>
      <c r="D4" s="391"/>
      <c r="E4" s="391"/>
      <c r="F4" s="393"/>
      <c r="I4" s="388"/>
      <c r="J4" s="26" t="s">
        <v>73</v>
      </c>
      <c r="K4" s="391"/>
      <c r="L4" s="391"/>
      <c r="M4" s="391"/>
      <c r="N4" s="393"/>
    </row>
    <row r="5" spans="1:14" ht="16" x14ac:dyDescent="0.2">
      <c r="A5" s="389"/>
      <c r="B5" s="27" t="s">
        <v>92</v>
      </c>
      <c r="C5" s="64" t="s">
        <v>551</v>
      </c>
      <c r="D5" s="64" t="s">
        <v>552</v>
      </c>
      <c r="E5" s="64" t="s">
        <v>553</v>
      </c>
      <c r="F5" s="29" t="s">
        <v>93</v>
      </c>
      <c r="I5" s="389"/>
      <c r="J5" s="27" t="s">
        <v>92</v>
      </c>
      <c r="K5" s="64" t="s">
        <v>551</v>
      </c>
      <c r="L5" s="64" t="s">
        <v>552</v>
      </c>
      <c r="M5" s="64" t="s">
        <v>553</v>
      </c>
      <c r="N5" s="29" t="s">
        <v>93</v>
      </c>
    </row>
    <row r="6" spans="1:14" ht="16" x14ac:dyDescent="0.2">
      <c r="A6" s="30" t="s">
        <v>94</v>
      </c>
      <c r="B6" s="27" t="s">
        <v>95</v>
      </c>
      <c r="C6" s="28" t="s">
        <v>96</v>
      </c>
      <c r="D6" s="28" t="s">
        <v>96</v>
      </c>
      <c r="E6" s="28" t="s">
        <v>96</v>
      </c>
      <c r="F6" s="29" t="s">
        <v>96</v>
      </c>
      <c r="I6" s="30" t="s">
        <v>94</v>
      </c>
      <c r="J6" s="27" t="s">
        <v>95</v>
      </c>
      <c r="K6" s="28" t="s">
        <v>96</v>
      </c>
      <c r="L6" s="28" t="s">
        <v>96</v>
      </c>
      <c r="M6" s="28" t="s">
        <v>96</v>
      </c>
      <c r="N6" s="29" t="s">
        <v>96</v>
      </c>
    </row>
    <row r="7" spans="1:14" x14ac:dyDescent="0.2">
      <c r="A7" s="37">
        <v>5.6</v>
      </c>
      <c r="B7" s="31" t="s">
        <v>97</v>
      </c>
      <c r="C7" s="32" t="s">
        <v>138</v>
      </c>
      <c r="D7" s="31">
        <v>84058971</v>
      </c>
      <c r="E7" s="218" t="s">
        <v>138</v>
      </c>
      <c r="F7" s="219" t="s">
        <v>138</v>
      </c>
      <c r="I7" s="37">
        <v>5.6</v>
      </c>
      <c r="J7" s="33" t="s">
        <v>99</v>
      </c>
      <c r="K7" s="32" t="s">
        <v>138</v>
      </c>
      <c r="L7" s="34">
        <v>84075189</v>
      </c>
      <c r="M7" s="220" t="s">
        <v>138</v>
      </c>
      <c r="N7" s="221" t="s">
        <v>138</v>
      </c>
    </row>
    <row r="8" spans="1:14" x14ac:dyDescent="0.2">
      <c r="A8" s="37">
        <v>6</v>
      </c>
      <c r="B8" s="31" t="s">
        <v>97</v>
      </c>
      <c r="C8" s="32" t="s">
        <v>138</v>
      </c>
      <c r="D8" s="31">
        <v>84058971</v>
      </c>
      <c r="E8" s="398">
        <v>84058991</v>
      </c>
      <c r="F8" s="399"/>
      <c r="I8" s="37">
        <v>6</v>
      </c>
      <c r="J8" s="33" t="s">
        <v>99</v>
      </c>
      <c r="K8" s="32" t="s">
        <v>138</v>
      </c>
      <c r="L8" s="34">
        <v>84075189</v>
      </c>
      <c r="M8" s="400">
        <v>84075198</v>
      </c>
      <c r="N8" s="401"/>
    </row>
    <row r="9" spans="1:14" x14ac:dyDescent="0.2">
      <c r="A9" s="37">
        <v>6.5</v>
      </c>
      <c r="B9" s="31" t="s">
        <v>97</v>
      </c>
      <c r="C9" s="32" t="s">
        <v>138</v>
      </c>
      <c r="D9" s="31">
        <v>84058972</v>
      </c>
      <c r="E9" s="398">
        <v>84058992</v>
      </c>
      <c r="F9" s="399"/>
      <c r="I9" s="37">
        <v>6.5</v>
      </c>
      <c r="J9" s="33" t="s">
        <v>99</v>
      </c>
      <c r="K9" s="32" t="s">
        <v>138</v>
      </c>
      <c r="L9" s="34">
        <v>84075190</v>
      </c>
      <c r="M9" s="400">
        <v>84075199</v>
      </c>
      <c r="N9" s="401"/>
    </row>
    <row r="10" spans="1:14" x14ac:dyDescent="0.2">
      <c r="A10" s="37">
        <v>7</v>
      </c>
      <c r="B10" s="31" t="s">
        <v>97</v>
      </c>
      <c r="C10" s="32" t="s">
        <v>138</v>
      </c>
      <c r="D10" s="31">
        <v>84058973</v>
      </c>
      <c r="E10" s="394" t="s">
        <v>138</v>
      </c>
      <c r="F10" s="395"/>
      <c r="I10" s="37">
        <v>7</v>
      </c>
      <c r="J10" s="33" t="s">
        <v>99</v>
      </c>
      <c r="K10" s="32" t="s">
        <v>138</v>
      </c>
      <c r="L10" s="34">
        <v>84075191</v>
      </c>
      <c r="M10" s="396" t="s">
        <v>138</v>
      </c>
      <c r="N10" s="397"/>
    </row>
    <row r="11" spans="1:14" x14ac:dyDescent="0.2">
      <c r="A11" s="37">
        <v>7.5</v>
      </c>
      <c r="B11" s="31" t="s">
        <v>97</v>
      </c>
      <c r="C11" s="32" t="s">
        <v>138</v>
      </c>
      <c r="D11" s="31">
        <v>84058993</v>
      </c>
      <c r="E11" s="398">
        <v>84058974</v>
      </c>
      <c r="F11" s="399"/>
      <c r="I11" s="37">
        <v>7.5</v>
      </c>
      <c r="J11" s="33" t="s">
        <v>99</v>
      </c>
      <c r="K11" s="32" t="s">
        <v>138</v>
      </c>
      <c r="L11" s="34">
        <v>84075192</v>
      </c>
      <c r="M11" s="400">
        <v>84075201</v>
      </c>
      <c r="N11" s="401"/>
    </row>
    <row r="12" spans="1:14" x14ac:dyDescent="0.2">
      <c r="A12" s="37">
        <v>8</v>
      </c>
      <c r="B12" s="31" t="s">
        <v>97</v>
      </c>
      <c r="C12" s="32" t="s">
        <v>138</v>
      </c>
      <c r="D12" s="31">
        <v>84058975</v>
      </c>
      <c r="E12" s="218" t="s">
        <v>138</v>
      </c>
      <c r="F12" s="219" t="s">
        <v>138</v>
      </c>
      <c r="I12" s="37">
        <v>8</v>
      </c>
      <c r="J12" s="33" t="s">
        <v>99</v>
      </c>
      <c r="K12" s="32" t="s">
        <v>138</v>
      </c>
      <c r="L12" s="34">
        <v>84075193</v>
      </c>
      <c r="M12" s="220" t="s">
        <v>138</v>
      </c>
      <c r="N12" s="221" t="s">
        <v>138</v>
      </c>
    </row>
    <row r="13" spans="1:14" x14ac:dyDescent="0.2">
      <c r="A13" s="37">
        <v>9</v>
      </c>
      <c r="B13" s="31" t="s">
        <v>97</v>
      </c>
      <c r="C13" s="32" t="s">
        <v>138</v>
      </c>
      <c r="D13" s="31">
        <v>84058994</v>
      </c>
      <c r="E13" s="398">
        <v>84058976</v>
      </c>
      <c r="F13" s="399"/>
      <c r="I13" s="37">
        <v>9</v>
      </c>
      <c r="J13" s="33" t="s">
        <v>99</v>
      </c>
      <c r="K13" s="230" t="s">
        <v>138</v>
      </c>
      <c r="L13" s="34">
        <v>84075194</v>
      </c>
      <c r="M13" s="403">
        <v>84075202</v>
      </c>
      <c r="N13" s="404"/>
    </row>
    <row r="14" spans="1:14" x14ac:dyDescent="0.2">
      <c r="A14" s="37">
        <v>10</v>
      </c>
      <c r="B14" s="31" t="s">
        <v>97</v>
      </c>
      <c r="C14" s="32"/>
      <c r="D14" s="31">
        <v>84058977</v>
      </c>
      <c r="E14" s="218" t="s">
        <v>138</v>
      </c>
      <c r="F14" s="219" t="s">
        <v>138</v>
      </c>
      <c r="I14" s="37">
        <v>10</v>
      </c>
      <c r="J14" s="33" t="s">
        <v>99</v>
      </c>
      <c r="K14" s="222"/>
      <c r="L14" s="223">
        <v>84077841</v>
      </c>
      <c r="M14" s="226" t="s">
        <v>138</v>
      </c>
      <c r="N14" s="227" t="s">
        <v>138</v>
      </c>
    </row>
    <row r="15" spans="1:14" x14ac:dyDescent="0.2">
      <c r="A15" s="37">
        <v>11</v>
      </c>
      <c r="B15" s="31" t="s">
        <v>97</v>
      </c>
      <c r="C15" s="31" t="s">
        <v>101</v>
      </c>
      <c r="D15" s="35">
        <v>84075207</v>
      </c>
      <c r="E15" s="218" t="s">
        <v>138</v>
      </c>
      <c r="F15" s="219" t="s">
        <v>138</v>
      </c>
      <c r="I15" s="37">
        <v>11</v>
      </c>
      <c r="J15" s="33" t="s">
        <v>99</v>
      </c>
      <c r="K15" s="231">
        <v>84075186</v>
      </c>
      <c r="L15" s="231">
        <v>84075196</v>
      </c>
      <c r="M15" s="230" t="s">
        <v>138</v>
      </c>
      <c r="N15" s="227" t="s">
        <v>138</v>
      </c>
    </row>
    <row r="16" spans="1:14" ht="16" thickBot="1" x14ac:dyDescent="0.25">
      <c r="A16" s="160">
        <v>12</v>
      </c>
      <c r="B16" s="164" t="s">
        <v>97</v>
      </c>
      <c r="C16" s="32" t="s">
        <v>138</v>
      </c>
      <c r="D16" s="162">
        <v>84058978</v>
      </c>
      <c r="E16" s="398">
        <v>84058952</v>
      </c>
      <c r="F16" s="402"/>
      <c r="I16" s="160">
        <v>12</v>
      </c>
      <c r="J16" s="161" t="s">
        <v>99</v>
      </c>
      <c r="K16" s="32" t="s">
        <v>138</v>
      </c>
      <c r="L16" s="224">
        <v>84075197</v>
      </c>
      <c r="M16" s="405">
        <v>84110561</v>
      </c>
      <c r="N16" s="406"/>
    </row>
    <row r="17" spans="1:15" x14ac:dyDescent="0.2">
      <c r="A17" s="36">
        <v>14</v>
      </c>
      <c r="B17" s="165" t="s">
        <v>97</v>
      </c>
      <c r="C17" s="165" t="s">
        <v>106</v>
      </c>
      <c r="D17" s="166" t="s">
        <v>138</v>
      </c>
      <c r="E17" s="166" t="s">
        <v>138</v>
      </c>
      <c r="F17" s="167">
        <v>84058954</v>
      </c>
      <c r="I17" s="36">
        <v>14</v>
      </c>
      <c r="J17" s="172" t="s">
        <v>99</v>
      </c>
      <c r="K17" s="173">
        <v>84075188</v>
      </c>
      <c r="L17" s="166" t="s">
        <v>138</v>
      </c>
      <c r="M17" s="229" t="s">
        <v>138</v>
      </c>
      <c r="N17" s="225">
        <v>84075205</v>
      </c>
    </row>
    <row r="18" spans="1:15" ht="16" thickBot="1" x14ac:dyDescent="0.25">
      <c r="A18" s="163"/>
      <c r="B18" s="168" t="s">
        <v>73</v>
      </c>
      <c r="C18" s="168" t="s">
        <v>89</v>
      </c>
      <c r="D18" s="168" t="s">
        <v>103</v>
      </c>
      <c r="E18" s="170" t="s">
        <v>104</v>
      </c>
      <c r="F18" s="171" t="s">
        <v>105</v>
      </c>
      <c r="I18" s="163"/>
      <c r="J18" s="168" t="s">
        <v>73</v>
      </c>
      <c r="K18" s="168" t="s">
        <v>89</v>
      </c>
      <c r="L18" s="168" t="s">
        <v>103</v>
      </c>
      <c r="M18" s="168" t="s">
        <v>104</v>
      </c>
      <c r="N18" s="169" t="s">
        <v>105</v>
      </c>
      <c r="O18" s="228"/>
    </row>
    <row r="25" spans="1:15" x14ac:dyDescent="0.2">
      <c r="A25" s="290" t="s">
        <v>598</v>
      </c>
      <c r="B25" s="56"/>
      <c r="C25" s="56"/>
      <c r="D25" s="56"/>
      <c r="E25" s="56"/>
      <c r="F25" s="56"/>
      <c r="G25" s="56"/>
      <c r="H25" s="56"/>
      <c r="I25" s="56"/>
      <c r="J25" s="56"/>
    </row>
  </sheetData>
  <mergeCells count="20">
    <mergeCell ref="E16:F16"/>
    <mergeCell ref="E13:F13"/>
    <mergeCell ref="M13:N13"/>
    <mergeCell ref="M16:N16"/>
    <mergeCell ref="E11:F11"/>
    <mergeCell ref="M11:N11"/>
    <mergeCell ref="I2:N2"/>
    <mergeCell ref="I3:I5"/>
    <mergeCell ref="K3:L4"/>
    <mergeCell ref="M3:N4"/>
    <mergeCell ref="E10:F10"/>
    <mergeCell ref="M10:N10"/>
    <mergeCell ref="E8:F8"/>
    <mergeCell ref="M8:N8"/>
    <mergeCell ref="E9:F9"/>
    <mergeCell ref="M9:N9"/>
    <mergeCell ref="A2:F2"/>
    <mergeCell ref="A3:A5"/>
    <mergeCell ref="C3:D4"/>
    <mergeCell ref="E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F228-027D-4F8A-9D60-C16590952A50}">
  <sheetPr codeName="Feuil9"/>
  <dimension ref="A1:X57"/>
  <sheetViews>
    <sheetView workbookViewId="0">
      <pane ySplit="2" topLeftCell="A3" activePane="bottomLeft" state="frozen"/>
      <selection pane="bottomLeft" activeCell="S56" sqref="S56"/>
    </sheetView>
  </sheetViews>
  <sheetFormatPr baseColWidth="10" defaultRowHeight="15" x14ac:dyDescent="0.2"/>
  <cols>
    <col min="1" max="1" width="16.5" style="1" customWidth="1"/>
    <col min="2" max="2" width="11.5" style="1"/>
    <col min="3" max="3" width="17" style="1" customWidth="1"/>
    <col min="4" max="4" width="12" style="1" customWidth="1"/>
    <col min="5" max="5" width="11.5" style="1"/>
    <col min="6" max="6" width="14.5" style="1" customWidth="1"/>
    <col min="7" max="7" width="11.5" style="1"/>
    <col min="8" max="8" width="9.5" style="1" customWidth="1"/>
    <col min="9" max="9" width="16.83203125" style="1" customWidth="1"/>
    <col min="10" max="10" width="10" style="1" customWidth="1"/>
    <col min="11" max="11" width="8.5" style="1" customWidth="1"/>
    <col min="12" max="12" width="14.5" style="1" bestFit="1" customWidth="1"/>
    <col min="13" max="13" width="9" style="1" bestFit="1" customWidth="1"/>
    <col min="14" max="14" width="10.5" style="1" bestFit="1" customWidth="1"/>
    <col min="15" max="15" width="9" style="1" bestFit="1" customWidth="1"/>
    <col min="16" max="16" width="11.5" style="1" bestFit="1" customWidth="1"/>
    <col min="17" max="17" width="9" style="1" bestFit="1" customWidth="1"/>
    <col min="18" max="18" width="10.5" style="1" bestFit="1" customWidth="1"/>
    <col min="19" max="19" width="23.5" style="1" customWidth="1"/>
    <col min="20" max="24" width="11.5" style="1"/>
  </cols>
  <sheetData>
    <row r="1" spans="1:21" ht="26.25" customHeight="1" x14ac:dyDescent="0.2">
      <c r="A1" s="21" t="s">
        <v>0</v>
      </c>
      <c r="B1" s="409" t="s">
        <v>48</v>
      </c>
      <c r="C1" s="409"/>
      <c r="D1" s="409"/>
      <c r="E1" s="410"/>
      <c r="F1" s="92" t="s">
        <v>159</v>
      </c>
      <c r="G1" s="38"/>
      <c r="H1" s="418" t="s">
        <v>43</v>
      </c>
      <c r="I1" s="418"/>
      <c r="J1" s="38"/>
      <c r="K1" s="419" t="s">
        <v>44</v>
      </c>
      <c r="L1" s="419"/>
      <c r="M1" s="411" t="s">
        <v>52</v>
      </c>
      <c r="N1" s="412"/>
      <c r="O1" s="413" t="s">
        <v>56</v>
      </c>
      <c r="P1" s="413"/>
      <c r="Q1" s="416" t="s">
        <v>60</v>
      </c>
      <c r="R1" s="417"/>
      <c r="S1" s="414" t="s">
        <v>172</v>
      </c>
      <c r="T1" s="415"/>
      <c r="U1" s="415"/>
    </row>
    <row r="2" spans="1:21" ht="17" thickBot="1" x14ac:dyDescent="0.25">
      <c r="A2" s="18"/>
      <c r="B2" s="19" t="s">
        <v>565</v>
      </c>
      <c r="C2" s="19" t="s">
        <v>154</v>
      </c>
      <c r="D2" s="19" t="s">
        <v>153</v>
      </c>
      <c r="E2" s="20" t="s">
        <v>4</v>
      </c>
      <c r="F2" s="93" t="s">
        <v>137</v>
      </c>
      <c r="G2" s="11" t="s">
        <v>47</v>
      </c>
      <c r="H2" s="11" t="s">
        <v>45</v>
      </c>
      <c r="I2" s="11" t="s">
        <v>239</v>
      </c>
      <c r="J2" s="11" t="s">
        <v>153</v>
      </c>
      <c r="K2" s="13" t="s">
        <v>45</v>
      </c>
      <c r="L2" s="11" t="s">
        <v>133</v>
      </c>
      <c r="M2" s="14" t="s">
        <v>45</v>
      </c>
      <c r="N2" s="14" t="s">
        <v>46</v>
      </c>
      <c r="O2" s="15" t="s">
        <v>45</v>
      </c>
      <c r="P2" s="15" t="s">
        <v>46</v>
      </c>
      <c r="Q2" s="16" t="s">
        <v>45</v>
      </c>
      <c r="R2" s="17" t="s">
        <v>46</v>
      </c>
      <c r="S2" s="105" t="s">
        <v>165</v>
      </c>
      <c r="T2" s="105" t="s">
        <v>88</v>
      </c>
      <c r="U2" s="105" t="s">
        <v>169</v>
      </c>
    </row>
    <row r="3" spans="1:21" ht="17" thickBot="1" x14ac:dyDescent="0.25">
      <c r="A3" s="142">
        <f>COUNTA(A5:A1019)</f>
        <v>53</v>
      </c>
      <c r="B3" s="115"/>
      <c r="C3" s="115"/>
      <c r="D3" s="115"/>
      <c r="E3" s="109"/>
      <c r="F3" s="109"/>
      <c r="G3" s="109"/>
      <c r="H3" s="109"/>
      <c r="I3" s="109"/>
      <c r="J3" s="109"/>
      <c r="K3" s="109"/>
      <c r="L3" s="109"/>
      <c r="M3" s="407" t="s">
        <v>564</v>
      </c>
      <c r="N3" s="407"/>
      <c r="O3" s="407"/>
      <c r="P3" s="407"/>
      <c r="Q3" s="407"/>
      <c r="R3" s="66"/>
      <c r="S3" s="113"/>
      <c r="T3" s="113"/>
      <c r="U3" s="113"/>
    </row>
    <row r="4" spans="1:21" ht="16.5" customHeight="1" thickTop="1" x14ac:dyDescent="0.2">
      <c r="A4" s="217"/>
      <c r="B4" s="115"/>
      <c r="C4" s="115"/>
      <c r="D4" s="115"/>
      <c r="E4" s="109"/>
      <c r="F4" s="109"/>
      <c r="G4" s="109"/>
      <c r="H4" s="109"/>
      <c r="I4" s="109"/>
      <c r="J4" s="109"/>
      <c r="K4" s="109"/>
      <c r="L4" s="109"/>
      <c r="M4" s="408"/>
      <c r="N4" s="408"/>
      <c r="O4" s="408"/>
      <c r="P4" s="408"/>
      <c r="Q4" s="408"/>
      <c r="R4" s="269" t="s">
        <v>556</v>
      </c>
      <c r="S4" s="113"/>
      <c r="T4" s="113"/>
      <c r="U4" s="113"/>
    </row>
    <row r="5" spans="1:21" x14ac:dyDescent="0.2">
      <c r="A5" s="1" t="s">
        <v>156</v>
      </c>
      <c r="B5" s="1">
        <v>84077540</v>
      </c>
      <c r="C5" s="1">
        <v>74</v>
      </c>
      <c r="D5" s="1">
        <v>1</v>
      </c>
      <c r="E5" s="1">
        <v>7.2</v>
      </c>
    </row>
    <row r="6" spans="1:21" x14ac:dyDescent="0.2">
      <c r="A6" s="1" t="s">
        <v>155</v>
      </c>
      <c r="B6" s="1">
        <v>84077540</v>
      </c>
      <c r="C6" s="1">
        <v>94</v>
      </c>
      <c r="D6" s="1">
        <v>1</v>
      </c>
      <c r="E6" s="1">
        <v>7.2</v>
      </c>
      <c r="N6" s="203"/>
    </row>
    <row r="7" spans="1:21" x14ac:dyDescent="0.2">
      <c r="A7" s="1" t="s">
        <v>554</v>
      </c>
      <c r="B7" s="1" t="s">
        <v>138</v>
      </c>
      <c r="C7" s="1" t="s">
        <v>138</v>
      </c>
      <c r="D7" s="1" t="s">
        <v>138</v>
      </c>
      <c r="E7" s="1" t="s">
        <v>138</v>
      </c>
      <c r="F7" s="1" t="s">
        <v>138</v>
      </c>
      <c r="G7" s="1" t="s">
        <v>138</v>
      </c>
      <c r="H7" s="1" t="s">
        <v>138</v>
      </c>
      <c r="I7" s="1" t="s">
        <v>138</v>
      </c>
      <c r="J7" s="1" t="s">
        <v>138</v>
      </c>
      <c r="K7" s="1" t="s">
        <v>138</v>
      </c>
      <c r="M7" s="1">
        <v>108</v>
      </c>
      <c r="N7" s="203" t="s">
        <v>15</v>
      </c>
    </row>
    <row r="8" spans="1:21" x14ac:dyDescent="0.2">
      <c r="A8" s="1" t="s">
        <v>555</v>
      </c>
      <c r="B8" s="1" t="s">
        <v>138</v>
      </c>
      <c r="C8" s="1" t="s">
        <v>138</v>
      </c>
      <c r="D8" s="1" t="s">
        <v>138</v>
      </c>
      <c r="E8" s="1" t="s">
        <v>138</v>
      </c>
      <c r="F8" s="1" t="s">
        <v>138</v>
      </c>
      <c r="G8" s="1" t="s">
        <v>138</v>
      </c>
      <c r="H8" s="1" t="s">
        <v>138</v>
      </c>
      <c r="I8" s="1" t="s">
        <v>138</v>
      </c>
      <c r="J8" s="1" t="s">
        <v>138</v>
      </c>
      <c r="K8" s="1" t="s">
        <v>138</v>
      </c>
      <c r="M8" s="1">
        <v>126</v>
      </c>
      <c r="N8" s="203" t="s">
        <v>237</v>
      </c>
    </row>
    <row r="9" spans="1:21" x14ac:dyDescent="0.2">
      <c r="A9" s="1" t="s">
        <v>574</v>
      </c>
      <c r="B9" s="1" t="s">
        <v>575</v>
      </c>
      <c r="C9" s="1">
        <v>95</v>
      </c>
      <c r="D9" s="1">
        <v>1</v>
      </c>
      <c r="E9" s="1">
        <v>10</v>
      </c>
      <c r="F9" s="1">
        <v>2</v>
      </c>
      <c r="G9" s="1">
        <v>6.5</v>
      </c>
      <c r="H9" s="1">
        <v>49.4</v>
      </c>
      <c r="I9" s="1">
        <v>6</v>
      </c>
      <c r="J9" s="1">
        <v>1</v>
      </c>
      <c r="K9" s="1" t="s">
        <v>138</v>
      </c>
      <c r="L9" s="1" t="s">
        <v>138</v>
      </c>
      <c r="M9" s="1">
        <v>150</v>
      </c>
      <c r="N9" s="203" t="s">
        <v>237</v>
      </c>
    </row>
    <row r="10" spans="1:21" x14ac:dyDescent="0.2">
      <c r="A10" s="1" t="s">
        <v>356</v>
      </c>
      <c r="C10" s="1">
        <v>100</v>
      </c>
      <c r="D10" s="1">
        <v>1</v>
      </c>
      <c r="E10" s="1">
        <v>9</v>
      </c>
      <c r="F10" s="1">
        <v>1</v>
      </c>
      <c r="G10" s="1">
        <v>6.5</v>
      </c>
      <c r="H10" s="1">
        <v>29</v>
      </c>
      <c r="I10" s="1">
        <v>6</v>
      </c>
      <c r="J10" s="1">
        <v>0</v>
      </c>
      <c r="K10" s="1">
        <v>49.5</v>
      </c>
      <c r="L10" s="1">
        <v>6</v>
      </c>
      <c r="M10" s="1">
        <v>136</v>
      </c>
      <c r="N10" s="203" t="s">
        <v>100</v>
      </c>
    </row>
    <row r="11" spans="1:21" x14ac:dyDescent="0.2">
      <c r="A11" s="1" t="s">
        <v>235</v>
      </c>
      <c r="B11" s="1" t="s">
        <v>236</v>
      </c>
      <c r="C11" s="1">
        <v>140</v>
      </c>
      <c r="D11" s="1">
        <v>1</v>
      </c>
      <c r="E11" s="1">
        <v>9</v>
      </c>
      <c r="F11" s="1">
        <v>2</v>
      </c>
      <c r="G11" s="1">
        <v>6.5</v>
      </c>
      <c r="H11" s="1">
        <v>32</v>
      </c>
      <c r="I11" s="1">
        <v>6</v>
      </c>
      <c r="J11" s="1">
        <v>0</v>
      </c>
      <c r="K11" s="1">
        <v>56</v>
      </c>
      <c r="L11" s="1">
        <v>6</v>
      </c>
      <c r="M11" s="1">
        <v>168</v>
      </c>
      <c r="N11" s="203" t="s">
        <v>237</v>
      </c>
    </row>
    <row r="12" spans="1:21" x14ac:dyDescent="0.2">
      <c r="A12" s="1" t="s">
        <v>415</v>
      </c>
      <c r="B12" s="1" t="s">
        <v>416</v>
      </c>
      <c r="C12" s="1">
        <v>225</v>
      </c>
      <c r="D12" s="1">
        <v>1</v>
      </c>
      <c r="E12" s="1">
        <v>9</v>
      </c>
      <c r="F12" s="1">
        <v>2</v>
      </c>
      <c r="G12" s="1">
        <v>7.5</v>
      </c>
      <c r="H12" s="1">
        <v>33</v>
      </c>
      <c r="I12" s="1">
        <v>6</v>
      </c>
      <c r="J12" s="1">
        <v>0</v>
      </c>
      <c r="K12" s="1">
        <v>63</v>
      </c>
      <c r="L12" s="1">
        <v>6</v>
      </c>
      <c r="M12" s="1">
        <v>201</v>
      </c>
      <c r="N12" s="203" t="s">
        <v>237</v>
      </c>
    </row>
    <row r="13" spans="1:21" x14ac:dyDescent="0.2">
      <c r="A13" s="1" t="s">
        <v>569</v>
      </c>
      <c r="B13" s="1" t="s">
        <v>570</v>
      </c>
      <c r="C13" s="1">
        <v>150</v>
      </c>
      <c r="D13" s="1">
        <v>0</v>
      </c>
      <c r="E13" s="1">
        <v>9</v>
      </c>
      <c r="F13" s="1">
        <v>2</v>
      </c>
      <c r="G13" s="1">
        <v>7.5</v>
      </c>
      <c r="H13" s="1">
        <v>34</v>
      </c>
      <c r="I13" s="1">
        <v>6</v>
      </c>
      <c r="J13" s="1">
        <v>0</v>
      </c>
      <c r="K13" s="1">
        <v>79</v>
      </c>
      <c r="L13" s="1">
        <v>6</v>
      </c>
      <c r="M13" s="1">
        <v>180</v>
      </c>
      <c r="N13" s="203" t="s">
        <v>237</v>
      </c>
    </row>
    <row r="14" spans="1:21" x14ac:dyDescent="0.2">
      <c r="A14" s="1" t="s">
        <v>405</v>
      </c>
      <c r="B14" s="1" t="s">
        <v>406</v>
      </c>
      <c r="C14" s="1">
        <v>180</v>
      </c>
      <c r="D14" s="1">
        <v>0</v>
      </c>
      <c r="E14" s="1">
        <v>9</v>
      </c>
      <c r="F14" s="1">
        <v>2</v>
      </c>
      <c r="G14" s="1">
        <v>7.5</v>
      </c>
      <c r="H14" s="1">
        <v>47</v>
      </c>
      <c r="I14" s="1">
        <v>6</v>
      </c>
      <c r="J14" s="1">
        <v>0</v>
      </c>
      <c r="K14" s="1">
        <v>85</v>
      </c>
      <c r="L14" s="1">
        <v>6</v>
      </c>
      <c r="M14" s="1">
        <v>131</v>
      </c>
      <c r="N14" s="1" t="s">
        <v>58</v>
      </c>
      <c r="O14" s="1">
        <v>96</v>
      </c>
      <c r="P14" s="1" t="s">
        <v>55</v>
      </c>
    </row>
    <row r="15" spans="1:21" x14ac:dyDescent="0.2">
      <c r="A15" s="1" t="s">
        <v>373</v>
      </c>
      <c r="B15" s="1" t="s">
        <v>374</v>
      </c>
      <c r="C15" s="1">
        <v>200</v>
      </c>
      <c r="D15" s="1">
        <v>0</v>
      </c>
      <c r="E15" s="1">
        <v>10</v>
      </c>
      <c r="F15" s="1">
        <v>1</v>
      </c>
      <c r="G15" s="1">
        <v>6</v>
      </c>
      <c r="H15" s="1">
        <v>37</v>
      </c>
      <c r="I15" s="1">
        <v>6</v>
      </c>
      <c r="J15" s="1">
        <v>0</v>
      </c>
      <c r="K15" s="1">
        <v>65</v>
      </c>
      <c r="L15" s="1">
        <v>6</v>
      </c>
      <c r="M15" s="1">
        <v>265</v>
      </c>
      <c r="N15" s="1" t="s">
        <v>58</v>
      </c>
      <c r="O15" s="1">
        <v>166</v>
      </c>
      <c r="P15" s="1" t="s">
        <v>58</v>
      </c>
    </row>
    <row r="16" spans="1:21" x14ac:dyDescent="0.2">
      <c r="A16" s="1" t="s">
        <v>285</v>
      </c>
      <c r="B16" s="1" t="s">
        <v>286</v>
      </c>
      <c r="C16" s="1">
        <v>215</v>
      </c>
      <c r="D16" s="1">
        <v>0</v>
      </c>
      <c r="E16" s="1">
        <v>9</v>
      </c>
      <c r="F16" s="1">
        <v>2</v>
      </c>
      <c r="G16" s="1">
        <v>7.5</v>
      </c>
      <c r="H16" s="1">
        <v>54</v>
      </c>
      <c r="I16" s="1">
        <v>6</v>
      </c>
      <c r="K16" s="1">
        <v>95</v>
      </c>
      <c r="L16" s="1">
        <v>6</v>
      </c>
      <c r="M16" s="1">
        <v>131</v>
      </c>
      <c r="N16" s="1" t="s">
        <v>58</v>
      </c>
      <c r="O16" s="1">
        <v>110</v>
      </c>
      <c r="P16" s="1" t="s">
        <v>55</v>
      </c>
    </row>
    <row r="17" spans="1:18" x14ac:dyDescent="0.2">
      <c r="A17" s="1" t="s">
        <v>296</v>
      </c>
      <c r="B17" s="1" t="s">
        <v>294</v>
      </c>
      <c r="C17" s="1">
        <v>220</v>
      </c>
      <c r="D17" s="1">
        <v>0</v>
      </c>
      <c r="E17" s="1">
        <v>10</v>
      </c>
      <c r="F17" s="1">
        <v>2</v>
      </c>
      <c r="G17" s="1">
        <v>7.5</v>
      </c>
      <c r="H17" s="1">
        <v>59</v>
      </c>
      <c r="I17" s="1">
        <v>6</v>
      </c>
      <c r="J17" s="1">
        <v>0</v>
      </c>
      <c r="K17" s="1">
        <v>110.5</v>
      </c>
      <c r="L17" s="1">
        <v>6</v>
      </c>
      <c r="M17" s="1">
        <v>163</v>
      </c>
      <c r="N17" s="1" t="s">
        <v>55</v>
      </c>
      <c r="O17" s="1">
        <v>112.2</v>
      </c>
      <c r="P17" s="1" t="s">
        <v>568</v>
      </c>
    </row>
    <row r="18" spans="1:18" ht="16" x14ac:dyDescent="0.2">
      <c r="A18" s="1" t="s">
        <v>57</v>
      </c>
      <c r="B18" s="12" t="s">
        <v>61</v>
      </c>
      <c r="C18" s="12">
        <v>259</v>
      </c>
      <c r="D18" s="12">
        <v>0</v>
      </c>
      <c r="E18" s="1">
        <v>13</v>
      </c>
      <c r="F18" s="1">
        <v>2</v>
      </c>
      <c r="G18" s="1">
        <v>7.5</v>
      </c>
      <c r="H18" s="1">
        <v>56</v>
      </c>
      <c r="I18" s="1">
        <v>6</v>
      </c>
      <c r="K18" s="1">
        <v>105</v>
      </c>
      <c r="L18" s="1">
        <v>6</v>
      </c>
      <c r="M18" s="1">
        <v>335</v>
      </c>
      <c r="N18" s="203" t="s">
        <v>58</v>
      </c>
      <c r="O18" s="1">
        <v>333</v>
      </c>
      <c r="P18" s="1" t="s">
        <v>59</v>
      </c>
      <c r="Q18" s="1">
        <v>78.5</v>
      </c>
      <c r="R18" s="1" t="s">
        <v>55</v>
      </c>
    </row>
    <row r="19" spans="1:18" x14ac:dyDescent="0.2">
      <c r="A19" s="1" t="s">
        <v>211</v>
      </c>
      <c r="B19" s="1" t="s">
        <v>212</v>
      </c>
      <c r="C19" s="1">
        <v>114</v>
      </c>
      <c r="D19" s="1">
        <v>0</v>
      </c>
      <c r="E19" s="1">
        <v>12</v>
      </c>
      <c r="F19" s="1">
        <v>1</v>
      </c>
      <c r="G19" s="1">
        <v>6</v>
      </c>
      <c r="H19" s="1">
        <v>57</v>
      </c>
      <c r="I19" s="1">
        <v>6</v>
      </c>
      <c r="J19" s="1">
        <v>0</v>
      </c>
      <c r="K19" s="1">
        <v>88</v>
      </c>
      <c r="L19" s="1">
        <v>6</v>
      </c>
      <c r="M19" s="1">
        <v>108</v>
      </c>
      <c r="N19" s="203" t="s">
        <v>213</v>
      </c>
    </row>
    <row r="20" spans="1:18" x14ac:dyDescent="0.2">
      <c r="A20" s="1" t="s">
        <v>270</v>
      </c>
      <c r="B20" s="1" t="s">
        <v>182</v>
      </c>
      <c r="C20" s="1">
        <v>230</v>
      </c>
      <c r="D20" s="1">
        <v>0</v>
      </c>
      <c r="E20" s="1">
        <v>13</v>
      </c>
      <c r="F20" s="1">
        <v>1</v>
      </c>
      <c r="G20" s="1">
        <v>7.5</v>
      </c>
      <c r="H20" s="1">
        <v>82</v>
      </c>
      <c r="I20" s="1">
        <v>6</v>
      </c>
      <c r="J20" s="1">
        <v>0</v>
      </c>
      <c r="K20" s="1">
        <v>102</v>
      </c>
      <c r="L20" s="1">
        <v>6</v>
      </c>
      <c r="M20" s="1">
        <v>145</v>
      </c>
      <c r="N20" s="203" t="s">
        <v>55</v>
      </c>
    </row>
    <row r="21" spans="1:18" x14ac:dyDescent="0.2">
      <c r="A21" s="1" t="s">
        <v>162</v>
      </c>
      <c r="B21" s="1" t="s">
        <v>138</v>
      </c>
      <c r="C21" s="1" t="s">
        <v>138</v>
      </c>
      <c r="D21" s="1" t="s">
        <v>138</v>
      </c>
      <c r="E21" s="1" t="s">
        <v>138</v>
      </c>
      <c r="F21" s="1" t="s">
        <v>138</v>
      </c>
      <c r="G21" s="1">
        <v>7.5</v>
      </c>
      <c r="H21" s="1">
        <v>44</v>
      </c>
      <c r="I21" s="1">
        <v>6</v>
      </c>
      <c r="J21" s="1">
        <v>0</v>
      </c>
      <c r="K21" s="1">
        <v>71</v>
      </c>
      <c r="L21" s="1">
        <v>6</v>
      </c>
      <c r="N21" s="203"/>
    </row>
    <row r="22" spans="1:18" x14ac:dyDescent="0.2">
      <c r="A22" s="1" t="s">
        <v>418</v>
      </c>
      <c r="B22" s="1" t="s">
        <v>419</v>
      </c>
      <c r="C22" s="1">
        <v>103</v>
      </c>
      <c r="D22" s="1">
        <v>1</v>
      </c>
      <c r="E22" s="1">
        <v>9</v>
      </c>
      <c r="F22" s="1">
        <v>1</v>
      </c>
      <c r="G22" s="1">
        <v>6</v>
      </c>
      <c r="H22" s="1">
        <v>34.5</v>
      </c>
      <c r="I22" s="1">
        <v>6</v>
      </c>
      <c r="J22" s="1">
        <v>0</v>
      </c>
      <c r="K22" s="1">
        <v>45.5</v>
      </c>
      <c r="L22" s="1">
        <v>6</v>
      </c>
      <c r="N22" s="203"/>
    </row>
    <row r="23" spans="1:18" x14ac:dyDescent="0.2">
      <c r="A23" s="78" t="s">
        <v>227</v>
      </c>
      <c r="B23" s="1" t="s">
        <v>228</v>
      </c>
      <c r="C23" s="1">
        <v>155</v>
      </c>
      <c r="D23" s="1">
        <v>1</v>
      </c>
      <c r="E23" s="1">
        <v>9</v>
      </c>
      <c r="F23" s="1">
        <v>3</v>
      </c>
      <c r="G23" s="1">
        <v>6</v>
      </c>
      <c r="H23" s="1">
        <v>38.57</v>
      </c>
      <c r="I23" s="1">
        <v>6</v>
      </c>
      <c r="J23" s="1">
        <v>0</v>
      </c>
      <c r="K23" s="1">
        <v>55.4</v>
      </c>
      <c r="L23" s="1">
        <v>6</v>
      </c>
      <c r="N23" s="203"/>
    </row>
    <row r="24" spans="1:18" x14ac:dyDescent="0.2">
      <c r="A24" s="1" t="s">
        <v>375</v>
      </c>
      <c r="B24" s="1" t="s">
        <v>376</v>
      </c>
      <c r="C24" s="1">
        <v>157</v>
      </c>
      <c r="D24" s="1">
        <v>0</v>
      </c>
      <c r="E24" s="1">
        <v>9</v>
      </c>
      <c r="F24" s="1">
        <v>2</v>
      </c>
      <c r="G24" s="1">
        <v>6</v>
      </c>
      <c r="H24" s="1">
        <v>41.1</v>
      </c>
      <c r="I24" s="1">
        <v>6</v>
      </c>
      <c r="J24" s="1">
        <v>0</v>
      </c>
      <c r="K24" s="1">
        <v>57.1</v>
      </c>
      <c r="L24" s="1">
        <v>6</v>
      </c>
      <c r="N24" s="203"/>
    </row>
    <row r="25" spans="1:18" x14ac:dyDescent="0.2">
      <c r="A25" s="1" t="s">
        <v>399</v>
      </c>
      <c r="B25" s="1" t="s">
        <v>376</v>
      </c>
      <c r="C25" s="1">
        <v>157</v>
      </c>
      <c r="D25" s="1">
        <v>0</v>
      </c>
      <c r="E25" s="1">
        <v>9</v>
      </c>
      <c r="F25" s="1">
        <v>2</v>
      </c>
      <c r="G25" s="1">
        <v>6</v>
      </c>
      <c r="H25" s="1">
        <v>41.1</v>
      </c>
      <c r="I25" s="1">
        <v>6</v>
      </c>
      <c r="J25" s="1">
        <v>0</v>
      </c>
      <c r="K25" s="1">
        <v>61.1</v>
      </c>
      <c r="L25" s="1">
        <v>6</v>
      </c>
      <c r="N25" s="203"/>
    </row>
    <row r="26" spans="1:18" x14ac:dyDescent="0.2">
      <c r="A26" s="1" t="s">
        <v>203</v>
      </c>
      <c r="C26" s="1">
        <v>172</v>
      </c>
      <c r="D26" s="1">
        <v>1</v>
      </c>
      <c r="E26" s="1">
        <v>9</v>
      </c>
      <c r="F26" s="1">
        <v>2</v>
      </c>
      <c r="G26" s="1">
        <v>6</v>
      </c>
      <c r="H26" s="1">
        <v>46.3</v>
      </c>
      <c r="I26" s="1">
        <v>6</v>
      </c>
      <c r="J26" s="1">
        <v>0</v>
      </c>
      <c r="K26" s="1">
        <v>62.8</v>
      </c>
      <c r="L26" s="1">
        <v>6</v>
      </c>
      <c r="N26" s="203"/>
    </row>
    <row r="27" spans="1:18" x14ac:dyDescent="0.2">
      <c r="A27" s="205" t="s">
        <v>428</v>
      </c>
      <c r="B27" s="1">
        <v>84071100</v>
      </c>
      <c r="C27" s="1">
        <v>121</v>
      </c>
      <c r="D27" s="1">
        <v>1</v>
      </c>
      <c r="E27" s="1">
        <v>9</v>
      </c>
      <c r="F27" s="1">
        <v>3</v>
      </c>
      <c r="G27" s="1">
        <v>6</v>
      </c>
      <c r="H27" s="1">
        <v>42.4</v>
      </c>
      <c r="I27" s="1">
        <v>9</v>
      </c>
      <c r="J27" s="1">
        <v>0</v>
      </c>
      <c r="K27" s="1">
        <v>65.099999999999994</v>
      </c>
      <c r="L27" s="1">
        <v>9</v>
      </c>
      <c r="N27" s="203"/>
    </row>
    <row r="28" spans="1:18" x14ac:dyDescent="0.2">
      <c r="A28" s="1" t="s">
        <v>36</v>
      </c>
      <c r="B28" s="1">
        <v>84014640</v>
      </c>
      <c r="C28" s="12">
        <v>235</v>
      </c>
      <c r="D28" s="12">
        <v>1</v>
      </c>
      <c r="E28" s="1">
        <v>9</v>
      </c>
      <c r="F28" s="1">
        <v>3</v>
      </c>
      <c r="G28" s="1">
        <v>6</v>
      </c>
      <c r="H28" s="1">
        <v>50</v>
      </c>
      <c r="I28" s="1">
        <v>9</v>
      </c>
      <c r="K28" s="1">
        <v>66</v>
      </c>
      <c r="L28" s="1">
        <v>9</v>
      </c>
      <c r="M28" s="1">
        <v>92</v>
      </c>
      <c r="N28" s="203" t="s">
        <v>53</v>
      </c>
    </row>
    <row r="29" spans="1:18" x14ac:dyDescent="0.2">
      <c r="A29" s="1" t="s">
        <v>37</v>
      </c>
      <c r="B29" s="1">
        <v>84014640</v>
      </c>
      <c r="C29" s="12">
        <v>245</v>
      </c>
      <c r="D29" s="12">
        <v>1</v>
      </c>
      <c r="E29" s="1">
        <v>9</v>
      </c>
      <c r="F29" s="1">
        <v>3</v>
      </c>
      <c r="G29" s="1">
        <v>6</v>
      </c>
      <c r="H29" s="1">
        <v>61</v>
      </c>
      <c r="I29" s="1">
        <v>9</v>
      </c>
      <c r="K29" s="1">
        <v>80.5</v>
      </c>
      <c r="L29" s="1">
        <v>9</v>
      </c>
      <c r="M29" s="1">
        <v>98.5</v>
      </c>
      <c r="N29" s="203" t="s">
        <v>53</v>
      </c>
    </row>
    <row r="30" spans="1:18" x14ac:dyDescent="0.2">
      <c r="A30" s="204" t="s">
        <v>289</v>
      </c>
      <c r="B30" s="1" t="s">
        <v>38</v>
      </c>
      <c r="C30" s="12">
        <v>81</v>
      </c>
      <c r="D30" s="12">
        <v>1</v>
      </c>
      <c r="E30" s="1">
        <v>6.7</v>
      </c>
      <c r="F30" s="1">
        <v>2</v>
      </c>
      <c r="G30" s="1">
        <v>6</v>
      </c>
      <c r="H30" s="1">
        <v>22</v>
      </c>
      <c r="I30" s="1">
        <v>6</v>
      </c>
      <c r="K30" s="1">
        <v>33</v>
      </c>
      <c r="L30" s="1">
        <v>6</v>
      </c>
    </row>
    <row r="31" spans="1:18" x14ac:dyDescent="0.2">
      <c r="A31" s="1" t="s">
        <v>290</v>
      </c>
      <c r="B31" s="1" t="s">
        <v>40</v>
      </c>
      <c r="C31" s="12">
        <v>94</v>
      </c>
      <c r="D31" s="12">
        <v>1</v>
      </c>
      <c r="E31" s="1">
        <v>8</v>
      </c>
      <c r="F31" s="1">
        <v>2</v>
      </c>
      <c r="G31" s="1">
        <v>6</v>
      </c>
      <c r="H31" s="1">
        <v>43.5</v>
      </c>
      <c r="I31" s="1">
        <v>6</v>
      </c>
      <c r="K31" s="1">
        <v>61.1</v>
      </c>
      <c r="L31" s="1">
        <v>6</v>
      </c>
    </row>
    <row r="32" spans="1:18" x14ac:dyDescent="0.2">
      <c r="A32" s="1" t="s">
        <v>299</v>
      </c>
      <c r="B32" s="1" t="s">
        <v>39</v>
      </c>
      <c r="C32" s="12">
        <v>89.6</v>
      </c>
      <c r="D32" s="12">
        <v>1</v>
      </c>
      <c r="E32" s="1">
        <v>8</v>
      </c>
      <c r="F32" s="1">
        <v>2</v>
      </c>
      <c r="G32" s="1">
        <v>6</v>
      </c>
      <c r="H32" s="1">
        <v>40.1</v>
      </c>
      <c r="I32" s="1">
        <v>6</v>
      </c>
      <c r="K32" s="1">
        <v>58.6</v>
      </c>
      <c r="L32" s="1">
        <v>6</v>
      </c>
    </row>
    <row r="33" spans="1:14" x14ac:dyDescent="0.2">
      <c r="A33" s="1" t="s">
        <v>291</v>
      </c>
      <c r="B33" s="1" t="s">
        <v>42</v>
      </c>
      <c r="C33" s="12">
        <v>99</v>
      </c>
      <c r="D33" s="12">
        <v>1</v>
      </c>
      <c r="E33" s="1">
        <v>8</v>
      </c>
      <c r="F33" s="1">
        <v>2</v>
      </c>
      <c r="G33" s="1">
        <v>6</v>
      </c>
      <c r="H33" s="1">
        <v>47.5</v>
      </c>
      <c r="I33" s="1">
        <v>6</v>
      </c>
      <c r="K33" s="1">
        <v>69.099999999999994</v>
      </c>
      <c r="L33" s="1">
        <v>6</v>
      </c>
    </row>
    <row r="34" spans="1:14" x14ac:dyDescent="0.2">
      <c r="A34" s="1" t="s">
        <v>288</v>
      </c>
      <c r="B34" s="1" t="s">
        <v>39</v>
      </c>
      <c r="C34" s="12">
        <v>89.6</v>
      </c>
      <c r="D34" s="12">
        <v>1</v>
      </c>
      <c r="E34" s="1">
        <v>8</v>
      </c>
      <c r="F34" s="1">
        <v>2</v>
      </c>
      <c r="G34" s="1">
        <v>6</v>
      </c>
      <c r="H34" s="1">
        <v>39.6</v>
      </c>
      <c r="I34" s="1">
        <v>6</v>
      </c>
      <c r="K34" s="1">
        <v>56.2</v>
      </c>
      <c r="L34" s="1">
        <v>6</v>
      </c>
    </row>
    <row r="35" spans="1:14" x14ac:dyDescent="0.2">
      <c r="A35" s="1" t="s">
        <v>292</v>
      </c>
      <c r="B35" s="1" t="s">
        <v>39</v>
      </c>
      <c r="C35" s="12">
        <v>89.6</v>
      </c>
      <c r="D35" s="12">
        <v>1</v>
      </c>
      <c r="E35" s="1">
        <v>8</v>
      </c>
      <c r="F35" s="1">
        <v>2</v>
      </c>
      <c r="G35" s="1">
        <v>6</v>
      </c>
      <c r="H35" s="1">
        <v>40.1</v>
      </c>
      <c r="I35" s="1">
        <v>6</v>
      </c>
      <c r="K35" s="1">
        <v>58.6</v>
      </c>
      <c r="L35" s="1">
        <v>6</v>
      </c>
    </row>
    <row r="36" spans="1:14" x14ac:dyDescent="0.2">
      <c r="A36" s="1" t="s">
        <v>293</v>
      </c>
      <c r="B36" s="1" t="s">
        <v>38</v>
      </c>
      <c r="C36" s="12">
        <v>81</v>
      </c>
      <c r="D36" s="12">
        <v>1</v>
      </c>
      <c r="E36" s="1">
        <v>6.7</v>
      </c>
      <c r="F36" s="1">
        <v>2</v>
      </c>
      <c r="G36" s="1">
        <v>6</v>
      </c>
      <c r="H36" s="1">
        <v>22</v>
      </c>
      <c r="I36" s="1">
        <v>6</v>
      </c>
      <c r="J36" s="1">
        <v>0</v>
      </c>
      <c r="K36" s="1">
        <v>33</v>
      </c>
      <c r="L36" s="1">
        <v>6</v>
      </c>
      <c r="N36" s="203"/>
    </row>
    <row r="37" spans="1:14" x14ac:dyDescent="0.2">
      <c r="A37" s="1" t="s">
        <v>27</v>
      </c>
      <c r="B37" s="1" t="s">
        <v>38</v>
      </c>
      <c r="C37" s="12">
        <v>81</v>
      </c>
      <c r="D37" s="12">
        <v>1</v>
      </c>
      <c r="E37" s="1">
        <v>6.7</v>
      </c>
      <c r="F37" s="1">
        <v>2</v>
      </c>
      <c r="G37" s="1">
        <v>6</v>
      </c>
      <c r="H37" s="1">
        <v>22</v>
      </c>
      <c r="I37" s="1">
        <v>6</v>
      </c>
      <c r="J37" s="1">
        <v>0</v>
      </c>
      <c r="K37" s="1">
        <v>33</v>
      </c>
      <c r="L37" s="1">
        <v>6</v>
      </c>
      <c r="N37" s="203"/>
    </row>
    <row r="38" spans="1:14" x14ac:dyDescent="0.2">
      <c r="A38" s="1" t="s">
        <v>28</v>
      </c>
      <c r="B38" s="1" t="s">
        <v>39</v>
      </c>
      <c r="C38" s="12">
        <v>89.6</v>
      </c>
      <c r="D38" s="12">
        <v>1</v>
      </c>
      <c r="E38" s="1">
        <v>8</v>
      </c>
      <c r="F38" s="1">
        <v>2</v>
      </c>
      <c r="G38" s="1">
        <v>6</v>
      </c>
      <c r="H38" s="1">
        <v>39.6</v>
      </c>
      <c r="I38" s="1">
        <v>6</v>
      </c>
      <c r="K38" s="1">
        <v>56.2</v>
      </c>
      <c r="L38" s="1">
        <v>6</v>
      </c>
    </row>
    <row r="39" spans="1:14" x14ac:dyDescent="0.2">
      <c r="A39" s="1" t="s">
        <v>29</v>
      </c>
      <c r="B39" s="1" t="s">
        <v>40</v>
      </c>
      <c r="C39" s="12">
        <v>94</v>
      </c>
      <c r="D39" s="12">
        <v>1</v>
      </c>
      <c r="E39" s="1">
        <v>8</v>
      </c>
      <c r="F39" s="1">
        <v>2</v>
      </c>
      <c r="G39" s="1">
        <v>6</v>
      </c>
      <c r="H39" s="1">
        <v>43.5</v>
      </c>
      <c r="I39" s="1">
        <v>6</v>
      </c>
      <c r="K39" s="1">
        <v>61.1</v>
      </c>
      <c r="L39" s="1">
        <v>6</v>
      </c>
    </row>
    <row r="40" spans="1:14" x14ac:dyDescent="0.2">
      <c r="A40" s="1" t="s">
        <v>30</v>
      </c>
      <c r="B40" s="1" t="s">
        <v>41</v>
      </c>
      <c r="C40" s="12">
        <v>97</v>
      </c>
      <c r="D40" s="12">
        <v>1</v>
      </c>
      <c r="E40" s="1">
        <v>8</v>
      </c>
      <c r="F40" s="1">
        <v>2</v>
      </c>
      <c r="G40" s="1">
        <v>6</v>
      </c>
      <c r="H40" s="1">
        <v>45.5</v>
      </c>
      <c r="I40" s="1">
        <v>6</v>
      </c>
      <c r="K40" s="1">
        <v>65.099999999999994</v>
      </c>
      <c r="L40" s="1">
        <v>6</v>
      </c>
    </row>
    <row r="41" spans="1:14" x14ac:dyDescent="0.2">
      <c r="A41" s="1" t="s">
        <v>31</v>
      </c>
      <c r="B41" s="1" t="s">
        <v>42</v>
      </c>
      <c r="C41" s="12">
        <v>99</v>
      </c>
      <c r="D41" s="12">
        <v>1</v>
      </c>
      <c r="E41" s="1">
        <v>8</v>
      </c>
      <c r="F41" s="1">
        <v>2</v>
      </c>
      <c r="G41" s="1">
        <v>6</v>
      </c>
      <c r="H41" s="1">
        <v>47.5</v>
      </c>
      <c r="I41" s="1">
        <v>6</v>
      </c>
      <c r="K41" s="1">
        <v>69.099999999999994</v>
      </c>
      <c r="L41" s="1">
        <v>6</v>
      </c>
    </row>
    <row r="42" spans="1:14" x14ac:dyDescent="0.2">
      <c r="A42" s="78" t="s">
        <v>32</v>
      </c>
      <c r="B42" s="1" t="s">
        <v>49</v>
      </c>
      <c r="C42" s="12">
        <v>105</v>
      </c>
      <c r="D42" s="12">
        <v>1</v>
      </c>
      <c r="E42" s="1">
        <v>8</v>
      </c>
      <c r="F42" s="1">
        <v>2</v>
      </c>
      <c r="G42" s="1">
        <v>6</v>
      </c>
      <c r="H42" s="1">
        <v>54</v>
      </c>
      <c r="I42" s="1">
        <v>6</v>
      </c>
      <c r="K42" s="1">
        <v>75</v>
      </c>
      <c r="L42" s="1">
        <v>6</v>
      </c>
    </row>
    <row r="43" spans="1:14" x14ac:dyDescent="0.2">
      <c r="A43" s="1" t="s">
        <v>198</v>
      </c>
      <c r="B43" s="1" t="s">
        <v>298</v>
      </c>
      <c r="C43" s="12">
        <v>142</v>
      </c>
      <c r="D43" s="12">
        <v>1</v>
      </c>
      <c r="E43" s="1">
        <v>9</v>
      </c>
      <c r="F43" s="1">
        <v>2</v>
      </c>
      <c r="G43" s="1">
        <v>6</v>
      </c>
      <c r="H43" s="1">
        <v>47</v>
      </c>
      <c r="I43" s="1">
        <v>6</v>
      </c>
      <c r="J43" s="1">
        <v>0</v>
      </c>
      <c r="K43" s="1">
        <v>66</v>
      </c>
      <c r="L43" s="1">
        <v>9</v>
      </c>
    </row>
    <row r="44" spans="1:14" x14ac:dyDescent="0.2">
      <c r="A44" s="1" t="s">
        <v>297</v>
      </c>
      <c r="B44" s="1" t="s">
        <v>298</v>
      </c>
      <c r="C44" s="1">
        <v>142</v>
      </c>
      <c r="D44" s="1">
        <v>1</v>
      </c>
      <c r="E44" s="1">
        <v>9</v>
      </c>
      <c r="F44" s="1">
        <v>2</v>
      </c>
      <c r="G44" s="1">
        <v>6</v>
      </c>
      <c r="H44" s="1">
        <v>49</v>
      </c>
      <c r="I44" s="1">
        <v>6</v>
      </c>
      <c r="J44" s="1">
        <v>0</v>
      </c>
      <c r="K44" s="1">
        <v>70</v>
      </c>
      <c r="L44" s="1">
        <v>9</v>
      </c>
    </row>
    <row r="45" spans="1:14" x14ac:dyDescent="0.2">
      <c r="A45" s="1" t="s">
        <v>199</v>
      </c>
      <c r="C45" s="12">
        <v>142</v>
      </c>
      <c r="D45" s="12">
        <v>1</v>
      </c>
      <c r="E45" s="1">
        <v>9</v>
      </c>
      <c r="F45" s="1">
        <v>2</v>
      </c>
      <c r="G45" s="1">
        <v>6</v>
      </c>
      <c r="H45" s="1">
        <v>49</v>
      </c>
      <c r="I45" s="1">
        <v>6</v>
      </c>
      <c r="J45" s="1">
        <v>0</v>
      </c>
      <c r="K45" s="1">
        <v>70</v>
      </c>
      <c r="L45" s="1">
        <v>9</v>
      </c>
    </row>
    <row r="46" spans="1:14" x14ac:dyDescent="0.2">
      <c r="A46" s="1" t="s">
        <v>200</v>
      </c>
      <c r="C46" s="12">
        <v>156</v>
      </c>
      <c r="D46" s="12">
        <v>1</v>
      </c>
      <c r="E46" s="1">
        <v>9</v>
      </c>
      <c r="F46" s="1">
        <v>2</v>
      </c>
      <c r="G46" s="1">
        <v>6</v>
      </c>
      <c r="H46" s="1">
        <v>51</v>
      </c>
      <c r="I46" s="1">
        <v>6</v>
      </c>
      <c r="J46" s="1">
        <v>0</v>
      </c>
      <c r="K46" s="1">
        <v>76.5</v>
      </c>
      <c r="L46" s="1">
        <v>9</v>
      </c>
    </row>
    <row r="47" spans="1:14" x14ac:dyDescent="0.2">
      <c r="A47" s="1" t="s">
        <v>33</v>
      </c>
      <c r="B47" s="1">
        <v>82007116</v>
      </c>
      <c r="C47" s="12">
        <v>112</v>
      </c>
      <c r="D47" s="12">
        <v>1</v>
      </c>
      <c r="E47" s="1">
        <v>9</v>
      </c>
      <c r="F47" s="1">
        <v>3</v>
      </c>
      <c r="G47" s="1">
        <v>6</v>
      </c>
      <c r="H47" s="1">
        <v>53</v>
      </c>
      <c r="I47" s="1">
        <v>6</v>
      </c>
      <c r="K47" s="1">
        <v>78</v>
      </c>
      <c r="L47" s="1">
        <v>6</v>
      </c>
    </row>
    <row r="48" spans="1:14" x14ac:dyDescent="0.2">
      <c r="A48" s="1" t="s">
        <v>34</v>
      </c>
      <c r="B48" s="1" t="s">
        <v>50</v>
      </c>
      <c r="C48" s="12">
        <v>156</v>
      </c>
      <c r="D48" s="12">
        <v>1</v>
      </c>
      <c r="E48" s="1">
        <v>9</v>
      </c>
      <c r="F48" s="1">
        <v>3</v>
      </c>
      <c r="G48" s="1">
        <v>6</v>
      </c>
      <c r="H48" s="1">
        <v>55</v>
      </c>
      <c r="I48" s="1">
        <v>6</v>
      </c>
      <c r="K48" s="1">
        <v>80.5</v>
      </c>
      <c r="L48" s="1">
        <v>9</v>
      </c>
    </row>
    <row r="49" spans="1:21" x14ac:dyDescent="0.2">
      <c r="A49" s="1" t="s">
        <v>201</v>
      </c>
      <c r="C49" s="12">
        <v>158</v>
      </c>
      <c r="D49" s="12">
        <v>1</v>
      </c>
      <c r="E49" s="1">
        <v>9</v>
      </c>
      <c r="F49" s="1">
        <v>3</v>
      </c>
      <c r="G49" s="1">
        <v>6</v>
      </c>
      <c r="H49" s="1">
        <v>57</v>
      </c>
      <c r="I49" s="1">
        <v>6</v>
      </c>
      <c r="J49" s="1">
        <v>0</v>
      </c>
      <c r="K49" s="1">
        <v>84.5</v>
      </c>
      <c r="L49" s="1">
        <v>9</v>
      </c>
    </row>
    <row r="50" spans="1:21" x14ac:dyDescent="0.2">
      <c r="A50" s="1" t="s">
        <v>202</v>
      </c>
      <c r="C50" s="12">
        <v>172</v>
      </c>
      <c r="D50" s="12">
        <v>1</v>
      </c>
      <c r="E50" s="1">
        <v>9</v>
      </c>
      <c r="F50" s="1">
        <v>3</v>
      </c>
      <c r="G50" s="1">
        <v>6</v>
      </c>
      <c r="H50" s="1">
        <v>61</v>
      </c>
      <c r="I50" s="1">
        <v>6</v>
      </c>
      <c r="J50" s="1">
        <v>0</v>
      </c>
      <c r="K50" s="1">
        <v>95</v>
      </c>
      <c r="L50" s="1">
        <v>9</v>
      </c>
    </row>
    <row r="51" spans="1:21" x14ac:dyDescent="0.2">
      <c r="A51" s="1" t="s">
        <v>35</v>
      </c>
      <c r="B51" s="1" t="s">
        <v>51</v>
      </c>
      <c r="C51" s="12">
        <v>172</v>
      </c>
      <c r="D51" s="12">
        <v>1</v>
      </c>
      <c r="E51" s="1">
        <v>9</v>
      </c>
      <c r="F51" s="1">
        <v>3</v>
      </c>
      <c r="G51" s="1">
        <v>6</v>
      </c>
      <c r="H51" s="1">
        <v>64</v>
      </c>
      <c r="I51" s="1">
        <v>6</v>
      </c>
      <c r="J51" s="1">
        <v>0</v>
      </c>
      <c r="K51" s="1">
        <v>100.3</v>
      </c>
      <c r="L51" s="1">
        <v>9</v>
      </c>
    </row>
    <row r="52" spans="1:21" x14ac:dyDescent="0.2">
      <c r="A52" s="1" t="s">
        <v>401</v>
      </c>
      <c r="B52" s="1" t="s">
        <v>54</v>
      </c>
      <c r="C52" s="12">
        <v>230</v>
      </c>
      <c r="D52" s="12">
        <v>0</v>
      </c>
      <c r="E52" s="1">
        <v>9</v>
      </c>
      <c r="F52" s="1">
        <v>3</v>
      </c>
      <c r="G52" s="1">
        <v>7.5</v>
      </c>
      <c r="H52" s="1">
        <v>73.400000000000006</v>
      </c>
      <c r="I52" s="1" t="s">
        <v>238</v>
      </c>
      <c r="K52" s="1">
        <v>50.2</v>
      </c>
      <c r="L52" s="1" t="s">
        <v>238</v>
      </c>
      <c r="M52" s="1">
        <v>85</v>
      </c>
      <c r="N52" s="1" t="s">
        <v>55</v>
      </c>
      <c r="O52" s="1">
        <v>240</v>
      </c>
      <c r="P52" s="1" t="s">
        <v>55</v>
      </c>
    </row>
    <row r="53" spans="1:21" x14ac:dyDescent="0.2">
      <c r="A53" s="1" t="s">
        <v>229</v>
      </c>
      <c r="B53" s="1" t="s">
        <v>129</v>
      </c>
      <c r="C53" s="12">
        <v>237</v>
      </c>
      <c r="D53" s="12">
        <v>0</v>
      </c>
      <c r="E53" s="1">
        <v>10</v>
      </c>
      <c r="F53" s="1">
        <v>9</v>
      </c>
      <c r="G53" s="1">
        <v>7.5</v>
      </c>
      <c r="H53" s="1">
        <v>55.2</v>
      </c>
      <c r="I53" s="1" t="s">
        <v>238</v>
      </c>
      <c r="K53" s="1">
        <v>83.4</v>
      </c>
      <c r="L53" s="1" t="s">
        <v>238</v>
      </c>
      <c r="M53" s="1">
        <v>95</v>
      </c>
      <c r="N53" s="1" t="s">
        <v>55</v>
      </c>
      <c r="O53" s="1">
        <v>286</v>
      </c>
      <c r="P53" s="1" t="s">
        <v>55</v>
      </c>
      <c r="S53" s="1" t="str">
        <f>Language!$B$40</f>
        <v>HOIST ROPE (SPECIAL)</v>
      </c>
      <c r="T53" s="1">
        <v>237</v>
      </c>
      <c r="U53" s="1">
        <v>84017096</v>
      </c>
    </row>
    <row r="54" spans="1:21" x14ac:dyDescent="0.2">
      <c r="A54" s="1" t="s">
        <v>230</v>
      </c>
      <c r="B54" s="1" t="s">
        <v>129</v>
      </c>
      <c r="C54" s="12">
        <v>237</v>
      </c>
      <c r="D54" s="12">
        <v>0</v>
      </c>
      <c r="E54" s="1">
        <v>10</v>
      </c>
      <c r="F54" s="1">
        <v>2</v>
      </c>
      <c r="G54" s="1">
        <v>7.5</v>
      </c>
      <c r="H54" s="1">
        <v>55.2</v>
      </c>
      <c r="I54" s="1" t="s">
        <v>238</v>
      </c>
      <c r="K54" s="1">
        <v>83.4</v>
      </c>
      <c r="L54" s="1" t="s">
        <v>238</v>
      </c>
      <c r="M54" s="1">
        <v>95</v>
      </c>
      <c r="N54" s="1" t="s">
        <v>55</v>
      </c>
      <c r="O54" s="1">
        <v>286</v>
      </c>
      <c r="P54" s="1" t="s">
        <v>55</v>
      </c>
    </row>
    <row r="55" spans="1:21" x14ac:dyDescent="0.2">
      <c r="A55" s="1" t="s">
        <v>427</v>
      </c>
      <c r="B55" s="1">
        <v>84075676</v>
      </c>
      <c r="C55" s="12">
        <v>251</v>
      </c>
      <c r="D55" s="12">
        <v>0</v>
      </c>
      <c r="E55" s="1">
        <v>10</v>
      </c>
      <c r="F55" s="1">
        <v>3</v>
      </c>
      <c r="G55" s="1">
        <v>7.5</v>
      </c>
      <c r="H55" s="1">
        <v>60.5</v>
      </c>
      <c r="I55" s="1" t="s">
        <v>238</v>
      </c>
      <c r="J55" s="1">
        <v>0</v>
      </c>
      <c r="K55" s="1">
        <v>92</v>
      </c>
      <c r="L55" s="1" t="s">
        <v>238</v>
      </c>
      <c r="M55" s="1">
        <v>97</v>
      </c>
      <c r="N55" s="1">
        <v>84058952</v>
      </c>
      <c r="O55" s="1">
        <v>321</v>
      </c>
      <c r="P55" s="1" t="s">
        <v>55</v>
      </c>
    </row>
    <row r="56" spans="1:21" ht="32" x14ac:dyDescent="0.2">
      <c r="A56" s="1" t="s">
        <v>400</v>
      </c>
      <c r="B56" s="1">
        <v>82015237</v>
      </c>
      <c r="C56" s="12">
        <v>249</v>
      </c>
      <c r="D56" s="12">
        <v>0</v>
      </c>
      <c r="E56" s="1">
        <v>12</v>
      </c>
      <c r="F56" s="1">
        <v>9</v>
      </c>
      <c r="G56" s="1">
        <v>7.5</v>
      </c>
      <c r="H56" s="1">
        <v>60.5</v>
      </c>
      <c r="I56" s="1" t="s">
        <v>238</v>
      </c>
      <c r="K56" s="1">
        <v>96</v>
      </c>
      <c r="L56" s="1" t="s">
        <v>238</v>
      </c>
      <c r="M56" s="1">
        <v>105</v>
      </c>
      <c r="N56" s="1" t="s">
        <v>55</v>
      </c>
      <c r="O56" s="1">
        <v>358</v>
      </c>
      <c r="P56" s="1" t="s">
        <v>55</v>
      </c>
      <c r="S56" s="12" t="s">
        <v>618</v>
      </c>
      <c r="T56" s="1">
        <v>249</v>
      </c>
      <c r="U56" s="1">
        <v>84058916</v>
      </c>
    </row>
    <row r="57" spans="1:21" x14ac:dyDescent="0.2">
      <c r="A57" s="1" t="s">
        <v>403</v>
      </c>
      <c r="B57" s="1" t="s">
        <v>402</v>
      </c>
      <c r="C57" s="1">
        <v>108</v>
      </c>
      <c r="D57" s="1">
        <v>1</v>
      </c>
      <c r="E57" s="1">
        <v>6</v>
      </c>
      <c r="F57" s="1">
        <v>2</v>
      </c>
      <c r="G57" s="1">
        <v>6</v>
      </c>
      <c r="H57" s="1">
        <v>32</v>
      </c>
      <c r="I57" s="1">
        <v>6</v>
      </c>
      <c r="J57" s="1">
        <v>1</v>
      </c>
      <c r="K57" s="1" t="s">
        <v>404</v>
      </c>
      <c r="L57" s="1">
        <v>0</v>
      </c>
      <c r="M57" s="1">
        <v>134</v>
      </c>
      <c r="N57" s="1" t="s">
        <v>100</v>
      </c>
    </row>
  </sheetData>
  <sortState xmlns:xlrd2="http://schemas.microsoft.com/office/spreadsheetml/2017/richdata2" ref="A5:U54">
    <sortCondition ref="A5:A54"/>
  </sortState>
  <mergeCells count="8">
    <mergeCell ref="M3:Q4"/>
    <mergeCell ref="B1:E1"/>
    <mergeCell ref="M1:N1"/>
    <mergeCell ref="O1:P1"/>
    <mergeCell ref="S1:U1"/>
    <mergeCell ref="Q1:R1"/>
    <mergeCell ref="H1:I1"/>
    <mergeCell ref="K1:L1"/>
  </mergeCells>
  <hyperlinks>
    <hyperlink ref="R4" location="CABLE_SP" display="Cliquez-ici" xr:uid="{FC711C46-99CC-4E69-B7AC-6A23008350AD}"/>
  </hyperlink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6 H 1 a U I a m N N i p A A A A + A A A A B I A H A B D b 2 5 m a W c v U G F j a 2 F n Z S 5 4 b W w g o h g A K K A U A A A A A A A A A A A A A A A A A A A A A A A A A A A A h Y / N C o J A F I V f R W b v 3 N H w B 7 m O i 6 B V Q h R E W 9 F R h 3 S M c U z f r U W P 1 C s k l N W u 5 T l 8 B 7 7 z u N 0 x m d r G u g r d y 0 7 F x K G M W E L l X S F V F Z P B l H Z I E o 6 7 L D 9 n l b B m W P X R 1 M u Y 1 M Z c I o B x H O m 4 o p 2 u w G X M g V O 6 P e S 1 a D N b q t 5 k K h f k s y r + r w j H 4 0 u G u z T w q e c H I f V C B 2 G p M Z X q i 7 i z M W U I P y W u h 8 Y M W v B S 2 5 s 9 w h I R 3 i / 4 E 1 B L A w Q U A A I A C A D o f V p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H 1 a U C i K R 7 g O A A A A E Q A A A B M A H A B G b 3 J t d W x h c y 9 T Z W N 0 a W 9 u M S 5 t I K I Y A C i g F A A A A A A A A A A A A A A A A A A A A A A A A A A A A C t O T S 7 J z M 9 T C I b Q h t Y A U E s B A i 0 A F A A C A A g A 6 H 1 a U I a m N N i p A A A A + A A A A B I A A A A A A A A A A A A A A A A A A A A A A E N v b m Z p Z y 9 Q Y W N r Y W d l L n h t b F B L A Q I t A B Q A A g A I A O h 9 W l A P y u m r p A A A A O k A A A A T A A A A A A A A A A A A A A A A A P U A A A B b Q 2 9 u d G V u d F 9 U e X B l c 1 0 u e G 1 s U E s B A i 0 A F A A C A A g A 6 H 1 a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N 6 g 4 g o C Z N r H k + J i s c 3 q Q A A A A A A g A A A A A A A 2 Y A A M A A A A A Q A A A A f i y n i v / c J S a s Q n V m U 4 M b 7 w A A A A A E g A A A o A A A A B A A A A B s 3 O s W T t f 9 7 u T 5 X b g M j V 1 J U A A A A I F W h 7 r Q A f P w v N h V g R 1 a 0 X W a a v G S m c E E o M A 9 C B c + p c g b Z + S F A O s Q F P e A N x s Y E p h I z o r G 3 j I Z Z K F K M G h / e X R t N b x e / U d r Q L R u K Q 6 l W i Z t H f V T F A A A A L s o 7 X m t S j s j P / X s K p a m r T N D u M q L < / D a t a M a s h u p > 
</file>

<file path=customXml/itemProps1.xml><?xml version="1.0" encoding="utf-8"?>
<ds:datastoreItem xmlns:ds="http://schemas.openxmlformats.org/officeDocument/2006/customXml" ds:itemID="{055DDC50-A793-49CA-A3D8-49D2BEBACB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18</vt:i4>
      </vt:variant>
    </vt:vector>
  </HeadingPairs>
  <TitlesOfParts>
    <vt:vector size="33" baseType="lpstr">
      <vt:lpstr>MENU</vt:lpstr>
      <vt:lpstr>Cables métal GME</vt:lpstr>
      <vt:lpstr>Cables métal GMA</vt:lpstr>
      <vt:lpstr>Cables métal MR</vt:lpstr>
      <vt:lpstr>Colisage</vt:lpstr>
      <vt:lpstr>Outils</vt:lpstr>
      <vt:lpstr>Base cables levage</vt:lpstr>
      <vt:lpstr>Base cable distribution</vt:lpstr>
      <vt:lpstr>GMA</vt:lpstr>
      <vt:lpstr>Guide service des câbles </vt:lpstr>
      <vt:lpstr>GME</vt:lpstr>
      <vt:lpstr>MR</vt:lpstr>
      <vt:lpstr>BULT LEVAGE</vt:lpstr>
      <vt:lpstr>BULT DISTRIB</vt:lpstr>
      <vt:lpstr>Language</vt:lpstr>
      <vt:lpstr>CABLE_SP</vt:lpstr>
      <vt:lpstr>D</vt:lpstr>
      <vt:lpstr>D_1B</vt:lpstr>
      <vt:lpstr>DIM_TOURET</vt:lpstr>
      <vt:lpstr>GMA</vt:lpstr>
      <vt:lpstr>GMA_BASE</vt:lpstr>
      <vt:lpstr>GME</vt:lpstr>
      <vt:lpstr>GME_BASE</vt:lpstr>
      <vt:lpstr>LF</vt:lpstr>
      <vt:lpstr>LF_FONCTION_MR</vt:lpstr>
      <vt:lpstr>LF_MR</vt:lpstr>
      <vt:lpstr>LV</vt:lpstr>
      <vt:lpstr>MR</vt:lpstr>
      <vt:lpstr>MR_BASE</vt:lpstr>
      <vt:lpstr>POIDS</vt:lpstr>
      <vt:lpstr>TOURET</vt:lpstr>
      <vt:lpstr>TRT_LGMAX</vt:lpstr>
      <vt:lpstr>TRT_LGMAX_REP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Legouic, Stéphane;Jerome.Guistetto@manitowoc.com</dc:creator>
  <cp:lastModifiedBy>Gid Gehlen</cp:lastModifiedBy>
  <cp:lastPrinted>2020-02-26T14:54:03Z</cp:lastPrinted>
  <dcterms:created xsi:type="dcterms:W3CDTF">2018-12-26T13:00:09Z</dcterms:created>
  <dcterms:modified xsi:type="dcterms:W3CDTF">2025-12-12T13:09:44Z</dcterms:modified>
</cp:coreProperties>
</file>